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<sst xmlns="http://schemas.openxmlformats.org/spreadsheetml/2006/main" count="839" uniqueCount="428">
  <si>
    <t>ОТЧЕТ ОБ ИСПОЛНЕНИИ БЮДЖЕТА</t>
  </si>
  <si>
    <t>КОДЫ</t>
  </si>
  <si>
    <t xml:space="preserve">Форма по ОКУД </t>
  </si>
  <si>
    <t>0503117</t>
  </si>
  <si>
    <t>на 1 октября 2015 г.</t>
  </si>
  <si>
    <t xml:space="preserve">Дата </t>
  </si>
  <si>
    <t>Наименование финансового органа</t>
  </si>
  <si>
    <t>Администрация Кореновского городского поселения Кореновского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</si>
  <si>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</si>
  <si>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</si>
  <si>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</si>
  <si>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</si>
  <si>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юджет Кореновского городского поселения Кореновского района</t>
  </si>
  <si>
    <t xml:space="preserve">по ОКТМО </t>
  </si>
  <si>
    <t>3221501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</si>
  <si>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</si>
  <si>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</si>
  <si>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</si>
  <si>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</si>
  <si>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</si>
  <si>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</si>
  <si>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</si>
  <si>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</si>
  <si>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</si>
  <si>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</si>
  <si>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</si>
  <si>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</si>
  <si>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</si>
  <si>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</si>
  <si>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</si>
  <si>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</si>
  <si>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</si>
  <si>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</si>
  <si>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</si>
  <si>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</si>
  <si>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</si>
  <si>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</si>
  <si>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НАЛОГОВЫЕ И НЕНАЛОГОВЫЕ ДОХОДЫ</t>
  </si>
  <si>
    <t>10000000 00 0000 000</t>
  </si>
  <si>
    <t>НАЛОГИ НА ПРИБЫЛЬ, ДОХОДЫ</t>
  </si>
  <si>
    <t>10100000 00 0000 000</t>
  </si>
  <si>
    <t>Налог на доходы физических лиц</t>
  </si>
  <si>
    <t>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</si>
  <si>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</si>
  <si>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</si>
  <si>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</si>
  <si>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</si>
  <si>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</si>
  <si>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</si>
  <si>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</si>
  <si>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10102040 01 0000 110</t>
  </si>
  <si>
    <t>НАЛОГИ НА ТОВАРЫ (РАБОТЫ, УСЛУГИ), РЕАЛИЗУЕМЫЕ НА ТЕРРИТОРИИ РОССИЙСКОЙ ФЕДЕРАЦИИ</t>
  </si>
  <si>
    <t>10300000 00 0000 000</t>
  </si>
  <si>
    <t>Акцизы по подакцизным товарам (продукции), производимым на территории Российской Федерации</t>
  </si>
  <si>
    <t>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</si>
  <si>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</si>
  <si>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</si>
  <si>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</si>
  <si>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</si>
  <si>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</si>
  <si>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</si>
  <si>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</si>
  <si>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10302260 01 0000 110</t>
  </si>
  <si>
    <t>-</t>
  </si>
  <si>
    <t>НАЛОГИ НА СОВОКУПНЫЙ ДОХОД</t>
  </si>
  <si>
    <t>10500000 00 0000 000</t>
  </si>
  <si>
    <t>Единый сельскохозяйственный налог</t>
  </si>
  <si>
    <t>10503000 01 0000 110</t>
  </si>
  <si>
    <t>10503010 01 0000 110</t>
  </si>
  <si>
    <t>Единый сельскохозяйственный налог (за налоговые периоды, истекшие до 1 января 2011 года)</t>
  </si>
  <si>
    <t>10503020 01 0000 110</t>
  </si>
  <si>
    <t>НАЛОГИ НА ИМУЩЕСТВО</t>
  </si>
  <si>
    <t>10600000 00 0000 000</t>
  </si>
  <si>
    <t>Налог на имущество физических лиц</t>
  </si>
  <si>
    <t>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</si>
  <si>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</si>
  <si>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10601030 13 0000 110</t>
  </si>
  <si>
    <t>Земельный налог</t>
  </si>
  <si>
    <t>10606000 00 0000 110</t>
  </si>
  <si>
    <t>Земельный налог с организаций</t>
  </si>
  <si>
    <t>10606030 00 0000 110</t>
  </si>
  <si>
    <t>Земельный налог с организаций, обладающих земельным участком, расположенным в границах городских поселений</t>
  </si>
  <si>
    <t>10606033 13 0000 110</t>
  </si>
  <si>
    <t>Земельный налог с физических лиц</t>
  </si>
  <si>
    <t>10606040 00 0000 110</t>
  </si>
  <si>
    <t>Земельный налог с физических лиц, обладающих земельным участком, расположенным в границах городских поселений</t>
  </si>
  <si>
    <t>10606043 13 0000 110</t>
  </si>
  <si>
    <t>ЗАДОЛЖЕННОСТЬ И ПЕРЕРАСЧЕТЫ ПО ОТМЕНЕННЫМ НАЛОГАМ, СБОРАМ И ИНЫМ ОБЯЗАТЕЛЬНЫМ ПЛАТЕЖАМ</t>
  </si>
  <si>
    <t>10900000 00 0000 000</t>
  </si>
  <si>
    <t>Налоги на имущество</t>
  </si>
  <si>
    <t>10904000 00 0000 110</t>
  </si>
  <si>
    <t>Земельный налог (по обязательствам, возникшим до 1 января 2006 года)</t>
  </si>
  <si>
    <t>10904050 00 0000 110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</si>
  <si>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</si>
  <si>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10904053 13 0000 110</t>
  </si>
  <si>
    <t>ДОХОДЫ ОТ ИСПОЛЬЗОВАНИЯ ИМУЩЕСТВА, НАХОДЯЩЕГОСЯ В ГОСУДАРСТВЕННОЙ И МУНИЦИПАЛЬНОЙ СОБСТВЕННОСТИ</t>
  </si>
  <si>
    <t>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</si>
  <si>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</si>
  <si>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</si>
  <si>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</si>
  <si>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</si>
  <si>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</si>
  <si>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</si>
  <si>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</si>
  <si>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</si>
  <si>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</si>
  <si>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11105025 13 0000 120</t>
  </si>
  <si>
    <t>Платежи от государственных и муниципальных унитарных предприятий</t>
  </si>
  <si>
    <t>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</si>
  <si>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</si>
  <si>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</si>
  <si>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</si>
  <si>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11107015 13 0000 120</t>
  </si>
  <si>
    <t>ДОХОДЫ ОТ ПРОДАЖИ МАТЕРИАЛЬНЫХ И НЕМАТЕРИАЛЬНЫХ АКТИВОВ</t>
  </si>
  <si>
    <t>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</si>
  <si>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</si>
  <si>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11402000 00 0000 000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</si>
  <si>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</si>
  <si>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</si>
  <si>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</si>
  <si>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11402053 13 0000 410</t>
  </si>
  <si>
    <t>Доходы от продажи земельных участков, находящихся в государственной и муниципальной собственности</t>
  </si>
  <si>
    <t>11406000 00 0000 430</t>
  </si>
  <si>
    <t>Доходы от продажи земельных участков, государственная собственность на которые не разграничена</t>
  </si>
  <si>
    <t>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</si>
  <si>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</si>
  <si>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</si>
  <si>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</si>
  <si>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11406020 00 0000 430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</si>
  <si>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</si>
  <si>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11406025 13 0000 430</t>
  </si>
  <si>
    <t>ШТРАФЫ, САНКЦИИ, ВОЗМЕЩЕНИЕ УЩЕРБА</t>
  </si>
  <si>
    <t>11600000 00 0000 000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</si>
  <si>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</si>
  <si>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</si>
  <si>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</si>
  <si>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11633050 13 0000 140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</si>
  <si>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</si>
  <si>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11637000 00 0000 140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</si>
  <si>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</si>
  <si>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11637040 13 0000 140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</si>
  <si>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</si>
  <si>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</si>
  <si>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</si>
  <si>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11651040 02 0000 140</t>
  </si>
  <si>
    <t>Прочие поступления от денежных взысканий (штрафов) и иных сумм в возмещение ущерба</t>
  </si>
  <si>
    <t>11690000 00 0000 140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</si>
  <si>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</si>
  <si>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11690050 13 0000 140</t>
  </si>
  <si>
    <t>ПРОЧИЕ НЕНАЛОГОВЫЕ ДОХОДЫ</t>
  </si>
  <si>
    <t>11700000 00 0000 000</t>
  </si>
  <si>
    <t>Прочие неналоговые доходы</t>
  </si>
  <si>
    <t>11705000 00 0000 180</t>
  </si>
  <si>
    <t>Прочие неналоговые доходы бюджетов городских поселений</t>
  </si>
  <si>
    <t>11705050 13 0000 180</t>
  </si>
  <si>
    <t>БЕЗВОЗМЕЗДНЫЕ ПОСТУПЛЕНИЯ</t>
  </si>
  <si>
    <t>20000000 00 0000 000</t>
  </si>
  <si>
    <t>БЕЗВОЗМЕЗДНЫЕ ПОСТУПЛЕНИЯ ОТ ДРУГИХ БЮДЖЕТОВ БЮДЖЕТНОЙ СИСТЕМЫ РОССИЙСКОЙ ФЕДЕРАЦИИ</t>
  </si>
  <si>
    <t>20200000 00 0000 000</t>
  </si>
  <si>
    <t>Субсидии бюджетам бюджетной системы Российской Федерации (межбюджетные субсидии)</t>
  </si>
  <si>
    <t>20202000 00 0000 151</t>
  </si>
  <si>
    <t>Прочие субсидии</t>
  </si>
  <si>
    <t>20202999 00 0000 151</t>
  </si>
  <si>
    <t>Прочие субсидии бюджетам городских поселений</t>
  </si>
  <si>
    <t>20202999 13 0000 151</t>
  </si>
  <si>
    <t>Субвенции бюджетам субъектов Российской Федерации и муниципальных образований</t>
  </si>
  <si>
    <t>20203000 00 0000 151</t>
  </si>
  <si>
    <t>Субвенции местным бюджетам на выполнение передаваемых полномочий субъектов Российской Федерации</t>
  </si>
  <si>
    <t>20203024 00 0000 151</t>
  </si>
  <si>
    <t>Субвенции бюджетам городских поселений на выполнение передаваемых полномочий субъектов Российской Федерации</t>
  </si>
  <si>
    <t>20203024 13 0000 151</t>
  </si>
  <si>
    <t>Иные межбюджетные трансферты</t>
  </si>
  <si>
    <t>20204000 00 0000 151</t>
  </si>
  <si>
    <t>Прочие межбюджетные трансферты, передаваемые бюджетам</t>
  </si>
  <si>
    <t>20204999 00 0000 151</t>
  </si>
  <si>
    <t>Прочие межбюджетные трансферты, передаваемые бюджетам городских поселений</t>
  </si>
  <si>
    <t>20204999 13 0000 151</t>
  </si>
  <si>
    <t>ПРОЧИЕ БЕЗВОЗМЕЗДНЫЕ ПОСТУПЛЕНИЯ</t>
  </si>
  <si>
    <t>20700000 00 0000 000</t>
  </si>
  <si>
    <t>Прочие безвозмездные поступления в бюджеты городских поселений</t>
  </si>
  <si>
    <t>20705000 13 0000 180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</si>
  <si>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</si>
  <si>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20705020 13 0000 180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</si>
  <si>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</si>
  <si>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</si>
  <si>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</si>
  <si>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21800000 00 0000 151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</si>
  <si>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</si>
  <si>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21805000 13 0000 151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</si>
  <si>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</si>
  <si>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21805010 13 0000 151</t>
  </si>
  <si>
    <t>ВОЗВРАТ ОСТАТКОВ СУБСИДИЙ, СУБВЕНЦИЙ И ИНЫХ МЕЖБЮДЖЕТНЫХ ТРАНСФЕРТОВ, ИМЕЮЩИХ ЦЕЛЕВОЕ НАЗНАЧЕНИЕ, ПРОШЛЫХ ЛЕТ</t>
  </si>
  <si>
    <t>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</si>
  <si>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</si>
  <si>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21905000 13 0000 151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</si>
  <si>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</si>
  <si>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</si>
  <si>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</si>
  <si>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</si>
  <si>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Функционирование высшего должностного лица субъекта Российской Федерации и муниципального образования</t>
  </si>
  <si>
    <t>0102 0000000 000 000</t>
  </si>
  <si>
    <t>Расходы</t>
  </si>
  <si>
    <t>0102 0000000 000 200</t>
  </si>
  <si>
    <t>Заработная плата</t>
  </si>
  <si>
    <t>0102 0000000 121 211</t>
  </si>
  <si>
    <t>Начисления на выплаты по оплате труда</t>
  </si>
  <si>
    <t>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</si>
  <si>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</si>
  <si>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0103 0000000 000 000</t>
  </si>
  <si>
    <t>Поступление нефинансовых активов</t>
  </si>
  <si>
    <t>0103 0000000 000 300</t>
  </si>
  <si>
    <t>Увеличение стоимости основных средств</t>
  </si>
  <si>
    <t>0103 0000000 244 310</t>
  </si>
  <si>
    <t>Увеличение стоимости материальных запасов</t>
  </si>
  <si>
    <t>0103 0000000 244 340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</si>
  <si>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</si>
  <si>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0104 0000000 000 000</t>
  </si>
  <si>
    <t>0104 0000000 000 200</t>
  </si>
  <si>
    <t>0104 0000000 121 211</t>
  </si>
  <si>
    <t>Прочие выплаты</t>
  </si>
  <si>
    <t>0104 0000000 122 212</t>
  </si>
  <si>
    <t>0104 0000000 121 213</t>
  </si>
  <si>
    <t>Услуги связи</t>
  </si>
  <si>
    <t>0104 0000000 244 221</t>
  </si>
  <si>
    <t>Транспортные услуги</t>
  </si>
  <si>
    <t>0104 0000000 244 222</t>
  </si>
  <si>
    <t>Коммунальные услуги</t>
  </si>
  <si>
    <t>0104 0000000 244 223</t>
  </si>
  <si>
    <t>Арендная плата за пользование имуществом</t>
  </si>
  <si>
    <t>0104 0000000 244 224</t>
  </si>
  <si>
    <t>Работы, услуги по содержанию имущества</t>
  </si>
  <si>
    <t>0104 0000000 244 225</t>
  </si>
  <si>
    <t>Прочие работы, услуги</t>
  </si>
  <si>
    <t>0104 0000000 244 226</t>
  </si>
  <si>
    <t>Прочие расходы</t>
  </si>
  <si>
    <t>0104 0000000 244 290</t>
  </si>
  <si>
    <t>0104 0000000 851 290</t>
  </si>
  <si>
    <t>0104 0000000 852 290</t>
  </si>
  <si>
    <t>0104 0000000 000 300</t>
  </si>
  <si>
    <t>0104 0000000 244 310</t>
  </si>
  <si>
    <t>0104 0000000 244 340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</si>
  <si>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</si>
  <si>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0106 0000000 000 000</t>
  </si>
  <si>
    <t>0106 0000000 000 200</t>
  </si>
  <si>
    <t>Перечисления другим бюджетам бюджетной системы Российской Федерации</t>
  </si>
  <si>
    <t>0106 0000000 540 251</t>
  </si>
  <si>
    <t>Резервные фонды</t>
  </si>
  <si>
    <t>0111 0000000 000 000</t>
  </si>
  <si>
    <t>0111 0000000 000 200</t>
  </si>
  <si>
    <t>0111 0000000 870 290</t>
  </si>
  <si>
    <t>Другие общегосударственные вопросы</t>
  </si>
  <si>
    <t>0113 0000000 000 000</t>
  </si>
  <si>
    <t>0113 0000000 000 200</t>
  </si>
  <si>
    <t>0113 0000000 111 211</t>
  </si>
  <si>
    <t>0113 0000000 112 212</t>
  </si>
  <si>
    <t>0113 0000000 111 213</t>
  </si>
  <si>
    <t>0113 0000000 244 221</t>
  </si>
  <si>
    <t>0113 0000000 244 222</t>
  </si>
  <si>
    <t>0113 0000000 244 223</t>
  </si>
  <si>
    <t>0113 0000000 244 224</t>
  </si>
  <si>
    <t>0113 0000000 244 225</t>
  </si>
  <si>
    <t>0113 0000000 112 226</t>
  </si>
  <si>
    <t>0113 0000000 244 226</t>
  </si>
  <si>
    <t>0113 0000000 244 290</t>
  </si>
  <si>
    <t>0113 0000000 831 290</t>
  </si>
  <si>
    <t>0113 0000000 851 290</t>
  </si>
  <si>
    <t>0113 0000000 852 290</t>
  </si>
  <si>
    <t>0113 0000000 000 300</t>
  </si>
  <si>
    <t>0113 0000000 244 310</t>
  </si>
  <si>
    <t>0113 0000000 244 340</t>
  </si>
  <si>
    <t>Защита населения и территории от чрезвычайных ситуаций природного и техногенного характера, гражданская оборона</t>
  </si>
  <si>
    <t>0309 0000000 000 000</t>
  </si>
  <si>
    <t>0309 0000000 000 200</t>
  </si>
  <si>
    <t>0309 0000000 244 226</t>
  </si>
  <si>
    <t>0309 0000000 540 251</t>
  </si>
  <si>
    <t>0309 0000000 000 300</t>
  </si>
  <si>
    <t>0309 0000000 244 310</t>
  </si>
  <si>
    <t>Другие вопросы в области национальной безопасности и правоохранительной деятельности</t>
  </si>
  <si>
    <t>0314 0000000 000 000</t>
  </si>
  <si>
    <t>0314 0000000 000 200</t>
  </si>
  <si>
    <t>0314 0000000 244 225</t>
  </si>
  <si>
    <t>0314 0000000 244 226</t>
  </si>
  <si>
    <t>Безвозмездные перечисления организациям, за исключением государственных и муниципальных организаций</t>
  </si>
  <si>
    <t>0314 0000000 630 242</t>
  </si>
  <si>
    <t>0314 0000000 000 300</t>
  </si>
  <si>
    <t>0314 0000000 244 310</t>
  </si>
  <si>
    <t>Транспорт</t>
  </si>
  <si>
    <t>0408 0000000 000 000</t>
  </si>
  <si>
    <t>0408 0000000 000 200</t>
  </si>
  <si>
    <t>0408 0000000 810 242</t>
  </si>
  <si>
    <t>Дорожное хозяйство (дорожные фонды)</t>
  </si>
  <si>
    <t>0409 0000000 000 000</t>
  </si>
  <si>
    <t>0409 0000000 000 200</t>
  </si>
  <si>
    <t>0409 0000000 244 225</t>
  </si>
  <si>
    <t>0409 0000000 244 226</t>
  </si>
  <si>
    <t>0409 0000000 000 300</t>
  </si>
  <si>
    <t>0409 0000000 244 340</t>
  </si>
  <si>
    <t>Связь и информатика</t>
  </si>
  <si>
    <t>0410 0000000 000 000</t>
  </si>
  <si>
    <t>0410 0000000 000 200</t>
  </si>
  <si>
    <t>0410 0000000 244 226</t>
  </si>
  <si>
    <t>0410 0000000 000 300</t>
  </si>
  <si>
    <t>0410 0000000 244 310</t>
  </si>
  <si>
    <t>0410 0000000 244 340</t>
  </si>
  <si>
    <t>Другие вопросы в области национальной экономики</t>
  </si>
  <si>
    <t>0412 0000000 000 000</t>
  </si>
  <si>
    <t>0412 0000000 000 200</t>
  </si>
  <si>
    <t>0412 0000000 244 226</t>
  </si>
  <si>
    <t>0412 0000000 244 290</t>
  </si>
  <si>
    <t>Коммунальное хозяйство</t>
  </si>
  <si>
    <t>0502 0000000 000 000</t>
  </si>
  <si>
    <t>0502 0000000 000 200</t>
  </si>
  <si>
    <t>0502 0000000 244 223</t>
  </si>
  <si>
    <t>0502 0000000 244 225</t>
  </si>
  <si>
    <t>0502 0000000 244 226</t>
  </si>
  <si>
    <t>0502 0000000 870 290</t>
  </si>
  <si>
    <t>0502 0000000 000 300</t>
  </si>
  <si>
    <t>0502 0000000 244 310</t>
  </si>
  <si>
    <t>0502 0000000 414 310</t>
  </si>
  <si>
    <t>0502 0000000 244 340</t>
  </si>
  <si>
    <t>Благоустройство</t>
  </si>
  <si>
    <t>0503 0000000 000 000</t>
  </si>
  <si>
    <t>0503 0000000 000 200</t>
  </si>
  <si>
    <t>0503 0000000 244 223</t>
  </si>
  <si>
    <t>0503 0000000 244 225</t>
  </si>
  <si>
    <t>0503 0000000 244 226</t>
  </si>
  <si>
    <t>0503 0000000 000 300</t>
  </si>
  <si>
    <t>0503 0000000 244 310</t>
  </si>
  <si>
    <t>0503 0000000 244 340</t>
  </si>
  <si>
    <t>Молодежная политика и оздоровление детей</t>
  </si>
  <si>
    <t>0707 0000000 000 000</t>
  </si>
  <si>
    <t>0707 0000000 000 200</t>
  </si>
  <si>
    <t>0707 0000000 244 226</t>
  </si>
  <si>
    <t>0707 0000000 244 290</t>
  </si>
  <si>
    <t>0707 0000000 000 300</t>
  </si>
  <si>
    <t>0707 0000000 244 340</t>
  </si>
  <si>
    <t>Культура</t>
  </si>
  <si>
    <t>0801 0000000 000 000</t>
  </si>
  <si>
    <t>0801 0000000 000 200</t>
  </si>
  <si>
    <t>0801 0000000 244 225</t>
  </si>
  <si>
    <t>0801 0000000 244 226</t>
  </si>
  <si>
    <t>Безвозмездные перечисления государственным и муниципальным организациям</t>
  </si>
  <si>
    <t>0801 0000000 611 241</t>
  </si>
  <si>
    <t>0801 0000000 612 241</t>
  </si>
  <si>
    <t>0801 0000000 244 290</t>
  </si>
  <si>
    <t>0801 0000000 000 300</t>
  </si>
  <si>
    <t>0801 0000000 244 340</t>
  </si>
  <si>
    <t>Кинематография</t>
  </si>
  <si>
    <t>0802 0000000 000 000</t>
  </si>
  <si>
    <t>0802 0000000 000 200</t>
  </si>
  <si>
    <t>0802 0000000 612 241</t>
  </si>
  <si>
    <t>Социальное обеспечение населения</t>
  </si>
  <si>
    <t>1003 0000000 000 000</t>
  </si>
  <si>
    <t>1003 0000000 000 200</t>
  </si>
  <si>
    <t>Пособия по социальной помощи населению</t>
  </si>
  <si>
    <t>1003 0000000 322 262</t>
  </si>
  <si>
    <t>Массовый спорт</t>
  </si>
  <si>
    <t>1102 0000000 000 000</t>
  </si>
  <si>
    <t>1102 0000000 000 200</t>
  </si>
  <si>
    <t>1102 0000000 244 222</t>
  </si>
  <si>
    <t>1102 0000000 244 226</t>
  </si>
  <si>
    <t>1102 0000000 244 290</t>
  </si>
  <si>
    <t>1102 0000000 000 300</t>
  </si>
  <si>
    <t>1102 0000000 244 310</t>
  </si>
  <si>
    <t>1102 0000000 244 340</t>
  </si>
  <si>
    <t>Обслуживание государственного внутреннего и муниципального долга</t>
  </si>
  <si>
    <t>1301 0000000 000 000</t>
  </si>
  <si>
    <t>1301 0000000 000 200</t>
  </si>
  <si>
    <t>Обслуживание внутреннего долга</t>
  </si>
  <si>
    <t>1301 0000000 730 231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</si>
  <si>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</si>
  <si>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</si>
  <si>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</si>
  <si>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</si>
  <si>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</si>
  <si>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</si>
  <si>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</si>
  <si>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</si>
  <si>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</si>
  <si>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ВНУТРЕННЕГО ФИНАНСИРОВАНИЯ ДЕФИЦИТОВ БЮДЖЕТОВ</t>
  </si>
  <si>
    <t>01000000 00 0000 000</t>
  </si>
  <si>
    <t>Кредиты кредитных организаций в валюте Российской Федерации</t>
  </si>
  <si>
    <t>01020000 00 0000 000</t>
  </si>
  <si>
    <t>Получение кредитов от кредитных организаций в валюте Российской Федерации</t>
  </si>
  <si>
    <t>01020000 00 0000 700</t>
  </si>
  <si>
    <t>Погашение кредитов, предоставленных кредитными организациями в валюте Российской Федерации</t>
  </si>
  <si>
    <t>01020000 00 0000 800</t>
  </si>
  <si>
    <t>Получение кредитов от кредитных организаций бюджетами городских поселений в валюте Российской Федерации</t>
  </si>
  <si>
    <t>01020000 13 0000 710</t>
  </si>
  <si>
    <t>Погашение бюджетами городских поселений кредитов от кредитных организаций в валюте Российской Федерации</t>
  </si>
  <si>
    <t>01020000 13 0000 810</t>
  </si>
  <si>
    <t>Бюджетные кредиты от других бюджетов бюджетной системы Российской Федерации</t>
  </si>
  <si>
    <t>01030000 00 0000 000</t>
  </si>
  <si>
    <t>Бюджетные кредиты от других бюджетов бюджетной системы Российской Федерации в валюте Российской Федерации</t>
  </si>
  <si>
    <t>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</si>
  <si>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</si>
  <si>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</si>
  <si>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</si>
  <si>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01030100 00 0000 800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</si>
  <si>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</si>
  <si>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01030100 13 0000 710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</si>
  <si>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</si>
  <si>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01030100 13 0000 810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</si>
  <si>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</si>
  <si>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</si>
  <si>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</si>
  <si>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</si>
  <si>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</si>
  <si>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>Увеличение остатков средств бюджетов</t>
  </si>
  <si>
    <t>710</t>
  </si>
  <si>
    <t>01050000 00 0000 500</t>
  </si>
  <si>
    <t>Увеличение прочих остатков средств бюджетов</t>
  </si>
  <si>
    <t>01050200 00 0000 500</t>
  </si>
  <si>
    <t>Увеличение прочих остатков денежных средств бюджетов</t>
  </si>
  <si>
    <t>01050201 00 0000 510</t>
  </si>
  <si>
    <t>Увеличение прочих остатков денежных средств бюджетов городских поселений</t>
  </si>
  <si>
    <t>01050201 13 0000 510</t>
  </si>
  <si>
    <t>Уменьшение остатков средств бюджетов</t>
  </si>
  <si>
    <t>720</t>
  </si>
  <si>
    <t>01050000 00 0000 600</t>
  </si>
  <si>
    <t>Уменьшение прочих остатков средств бюджетов</t>
  </si>
  <si>
    <t>01050200 00 0000 600</t>
  </si>
  <si>
    <t>Уменьшение прочих остатков денежных средств бюджетов</t>
  </si>
  <si>
    <t>01050201 00 0000 610</t>
  </si>
  <si>
    <t>Уменьшение прочих остатков денежных средств бюджетов городских поселений</t>
  </si>
  <si>
    <t>01050201 13 0000 610</t>
  </si>
  <si>
    <t xml:space="preserve">   22 сентября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</si>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</sst>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42278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14</v>
      </c>
    </row>
    <row r="7" spans="1:15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4" t="s">
        <v>19</v>
      </c>
      <c r="L8" s="4"/>
      <c r="M8" s="4"/>
      <c r="N8" s="4"/>
      <c r="O8" s="11" t="s">
        <v>20</v>
      </c>
    </row>
    <row r="9" spans="1:15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22</v>
      </c>
      <c r="B10" s="13"/>
      <c r="C10" s="13"/>
      <c r="D10" s="13"/>
      <c r="E10" s="13"/>
      <c r="F10" s="13"/>
      <c r="G10" s="14" t="s">
        <v>23</v>
      </c>
      <c r="H10" s="14" t="s">
        <v>24</v>
      </c>
      <c r="I10" s="15" t="s">
        <v>25</v>
      </c>
      <c r="J10" s="16" t="s">
        <v>26</v>
      </c>
      <c r="K10" s="16"/>
      <c r="L10" s="16"/>
      <c r="M10" s="16"/>
      <c r="N10" s="17" t="s">
        <v>27</v>
      </c>
      <c r="O10" s="17"/>
    </row>
    <row r="11" spans="1:15" s="1" customFormat="1" ht="12.75" customHeight="1">
      <c r="A11" s="18" t="s">
        <v>28</v>
      </c>
      <c r="B11" s="18"/>
      <c r="C11" s="18"/>
      <c r="D11" s="18"/>
      <c r="E11" s="18"/>
      <c r="F11" s="18"/>
      <c r="G11" s="19" t="s">
        <v>29</v>
      </c>
      <c r="H11" s="19" t="s">
        <v>30</v>
      </c>
      <c r="I11" s="20" t="s">
        <v>31</v>
      </c>
      <c r="J11" s="21" t="s">
        <v>32</v>
      </c>
      <c r="K11" s="21"/>
      <c r="L11" s="21"/>
      <c r="M11" s="21"/>
      <c r="N11" s="22" t="s">
        <v>33</v>
      </c>
      <c r="O11" s="22"/>
    </row>
    <row r="12" spans="1:15" s="1" customFormat="1" ht="13.5" customHeight="1">
      <c r="A12" s="23" t="s">
        <v>34</v>
      </c>
      <c r="B12" s="23"/>
      <c r="C12" s="23"/>
      <c r="D12" s="23"/>
      <c r="E12" s="23"/>
      <c r="F12" s="23"/>
      <c r="G12" s="24" t="s">
        <v>35</v>
      </c>
      <c r="H12" s="24" t="s">
        <v>36</v>
      </c>
      <c r="I12" s="25">
        <f>431045426.59</f>
        <v>431045426.59</v>
      </c>
      <c r="J12" s="26">
        <f>250238243.95</f>
        <v>250238243.95</v>
      </c>
      <c r="K12" s="26"/>
      <c r="L12" s="26"/>
      <c r="M12" s="26"/>
      <c r="N12" s="27">
        <f>180807182.64</f>
        <v>180807182.64</v>
      </c>
      <c r="O12" s="27"/>
    </row>
    <row r="13" spans="1:15" s="1" customFormat="1" ht="13.5" customHeight="1">
      <c r="A13" s="28" t="s">
        <v>37</v>
      </c>
      <c r="B13" s="28"/>
      <c r="C13" s="28"/>
      <c r="D13" s="28"/>
      <c r="E13" s="28"/>
      <c r="F13" s="28"/>
      <c r="G13" s="29" t="s">
        <v>35</v>
      </c>
      <c r="H13" s="29" t="s">
        <v>38</v>
      </c>
      <c r="I13" s="30">
        <f>186551936</f>
        <v>186551936</v>
      </c>
      <c r="J13" s="31">
        <f>133358264.57</f>
        <v>133358264.57</v>
      </c>
      <c r="K13" s="31"/>
      <c r="L13" s="31"/>
      <c r="M13" s="31"/>
      <c r="N13" s="32">
        <f>53193671.43</f>
        <v>53193671.43</v>
      </c>
      <c r="O13" s="32"/>
    </row>
    <row r="14" spans="1:15" s="1" customFormat="1" ht="13.5" customHeight="1">
      <c r="A14" s="28" t="s">
        <v>39</v>
      </c>
      <c r="B14" s="28"/>
      <c r="C14" s="28"/>
      <c r="D14" s="28"/>
      <c r="E14" s="28"/>
      <c r="F14" s="28"/>
      <c r="G14" s="29" t="s">
        <v>35</v>
      </c>
      <c r="H14" s="29" t="s">
        <v>40</v>
      </c>
      <c r="I14" s="30">
        <f>66400000</f>
        <v>66400000</v>
      </c>
      <c r="J14" s="31">
        <f>48404075.82</f>
        <v>48404075.82</v>
      </c>
      <c r="K14" s="31"/>
      <c r="L14" s="31"/>
      <c r="M14" s="31"/>
      <c r="N14" s="32">
        <f>17995924.18</f>
        <v>17995924.18</v>
      </c>
      <c r="O14" s="32"/>
    </row>
    <row r="15" spans="1:15" s="1" customFormat="1" ht="13.5" customHeight="1">
      <c r="A15" s="28" t="s">
        <v>41</v>
      </c>
      <c r="B15" s="28"/>
      <c r="C15" s="28"/>
      <c r="D15" s="28"/>
      <c r="E15" s="28"/>
      <c r="F15" s="28"/>
      <c r="G15" s="29" t="s">
        <v>35</v>
      </c>
      <c r="H15" s="29" t="s">
        <v>42</v>
      </c>
      <c r="I15" s="30">
        <f>66400000</f>
        <v>66400000</v>
      </c>
      <c r="J15" s="31">
        <f>48404075.82</f>
        <v>48404075.82</v>
      </c>
      <c r="K15" s="31"/>
      <c r="L15" s="31"/>
      <c r="M15" s="31"/>
      <c r="N15" s="32">
        <f>17995924.18</f>
        <v>17995924.18</v>
      </c>
      <c r="O15" s="32"/>
    </row>
    <row r="16" spans="1:15" s="1" customFormat="1" ht="45" customHeight="1">
      <c r="A16" s="28" t="s">
        <v>43</v>
      </c>
      <c r="B16" s="28"/>
      <c r="C16" s="28"/>
      <c r="D16" s="28"/>
      <c r="E16" s="28"/>
      <c r="F16" s="28"/>
      <c r="G16" s="29" t="s">
        <v>35</v>
      </c>
      <c r="H16" s="29" t="s">
        <v>44</v>
      </c>
      <c r="I16" s="30">
        <f>66147000</f>
        <v>66147000</v>
      </c>
      <c r="J16" s="31">
        <f>47449253.56</f>
        <v>47449253.56</v>
      </c>
      <c r="K16" s="31"/>
      <c r="L16" s="31"/>
      <c r="M16" s="31"/>
      <c r="N16" s="32">
        <f>18697746.44</f>
        <v>18697746.44</v>
      </c>
      <c r="O16" s="32"/>
    </row>
    <row r="17" spans="1:15" s="1" customFormat="1" ht="66" customHeight="1">
      <c r="A17" s="28" t="s">
        <v>45</v>
      </c>
      <c r="B17" s="28"/>
      <c r="C17" s="28"/>
      <c r="D17" s="28"/>
      <c r="E17" s="28"/>
      <c r="F17" s="28"/>
      <c r="G17" s="29" t="s">
        <v>35</v>
      </c>
      <c r="H17" s="29" t="s">
        <v>46</v>
      </c>
      <c r="I17" s="30">
        <f>200000</f>
        <v>200000</v>
      </c>
      <c r="J17" s="31">
        <f>726917.8</f>
        <v>726917.8</v>
      </c>
      <c r="K17" s="31"/>
      <c r="L17" s="31"/>
      <c r="M17" s="31"/>
      <c r="N17" s="32">
        <f>-526917.8</f>
        <v>-526917.8</v>
      </c>
      <c r="O17" s="32"/>
    </row>
    <row r="18" spans="1:15" s="1" customFormat="1" ht="24" customHeight="1">
      <c r="A18" s="28" t="s">
        <v>47</v>
      </c>
      <c r="B18" s="28"/>
      <c r="C18" s="28"/>
      <c r="D18" s="28"/>
      <c r="E18" s="28"/>
      <c r="F18" s="28"/>
      <c r="G18" s="29" t="s">
        <v>35</v>
      </c>
      <c r="H18" s="29" t="s">
        <v>48</v>
      </c>
      <c r="I18" s="30">
        <f>31000</f>
        <v>31000</v>
      </c>
      <c r="J18" s="31">
        <f>165332.5</f>
        <v>165332.5</v>
      </c>
      <c r="K18" s="31"/>
      <c r="L18" s="31"/>
      <c r="M18" s="31"/>
      <c r="N18" s="32">
        <f>-134332.5</f>
        <v>-134332.5</v>
      </c>
      <c r="O18" s="32"/>
    </row>
    <row r="19" spans="1:15" s="1" customFormat="1" ht="54.75" customHeight="1">
      <c r="A19" s="28" t="s">
        <v>49</v>
      </c>
      <c r="B19" s="28"/>
      <c r="C19" s="28"/>
      <c r="D19" s="28"/>
      <c r="E19" s="28"/>
      <c r="F19" s="28"/>
      <c r="G19" s="29" t="s">
        <v>35</v>
      </c>
      <c r="H19" s="29" t="s">
        <v>50</v>
      </c>
      <c r="I19" s="30">
        <f>22000</f>
        <v>22000</v>
      </c>
      <c r="J19" s="31">
        <f>62571.96</f>
        <v>62571.96</v>
      </c>
      <c r="K19" s="31"/>
      <c r="L19" s="31"/>
      <c r="M19" s="31"/>
      <c r="N19" s="32">
        <f>-40571.96</f>
        <v>-40571.96</v>
      </c>
      <c r="O19" s="32"/>
    </row>
    <row r="20" spans="1:15" s="1" customFormat="1" ht="24" customHeight="1">
      <c r="A20" s="28" t="s">
        <v>51</v>
      </c>
      <c r="B20" s="28"/>
      <c r="C20" s="28"/>
      <c r="D20" s="28"/>
      <c r="E20" s="28"/>
      <c r="F20" s="28"/>
      <c r="G20" s="29" t="s">
        <v>35</v>
      </c>
      <c r="H20" s="29" t="s">
        <v>52</v>
      </c>
      <c r="I20" s="30">
        <f>5581600</f>
        <v>5581600</v>
      </c>
      <c r="J20" s="31">
        <f>5189841.74</f>
        <v>5189841.74</v>
      </c>
      <c r="K20" s="31"/>
      <c r="L20" s="31"/>
      <c r="M20" s="31"/>
      <c r="N20" s="32">
        <f>391758.26</f>
        <v>391758.26</v>
      </c>
      <c r="O20" s="32"/>
    </row>
    <row r="21" spans="1:15" s="1" customFormat="1" ht="24" customHeight="1">
      <c r="A21" s="28" t="s">
        <v>53</v>
      </c>
      <c r="B21" s="28"/>
      <c r="C21" s="28"/>
      <c r="D21" s="28"/>
      <c r="E21" s="28"/>
      <c r="F21" s="28"/>
      <c r="G21" s="29" t="s">
        <v>35</v>
      </c>
      <c r="H21" s="29" t="s">
        <v>54</v>
      </c>
      <c r="I21" s="30">
        <f>5581600</f>
        <v>5581600</v>
      </c>
      <c r="J21" s="31">
        <f>5189841.74</f>
        <v>5189841.74</v>
      </c>
      <c r="K21" s="31"/>
      <c r="L21" s="31"/>
      <c r="M21" s="31"/>
      <c r="N21" s="32">
        <f>391758.26</f>
        <v>391758.26</v>
      </c>
      <c r="O21" s="32"/>
    </row>
    <row r="22" spans="1:15" s="1" customFormat="1" ht="45" customHeight="1">
      <c r="A22" s="28" t="s">
        <v>55</v>
      </c>
      <c r="B22" s="28"/>
      <c r="C22" s="28"/>
      <c r="D22" s="28"/>
      <c r="E22" s="28"/>
      <c r="F22" s="28"/>
      <c r="G22" s="29" t="s">
        <v>35</v>
      </c>
      <c r="H22" s="29" t="s">
        <v>56</v>
      </c>
      <c r="I22" s="30">
        <f>3354600</f>
        <v>3354600</v>
      </c>
      <c r="J22" s="31">
        <f>1768586.63</f>
        <v>1768586.63</v>
      </c>
      <c r="K22" s="31"/>
      <c r="L22" s="31"/>
      <c r="M22" s="31"/>
      <c r="N22" s="32">
        <f>1586013.37</f>
        <v>1586013.37</v>
      </c>
      <c r="O22" s="32"/>
    </row>
    <row r="23" spans="1:15" s="1" customFormat="1" ht="54.75" customHeight="1">
      <c r="A23" s="28" t="s">
        <v>57</v>
      </c>
      <c r="B23" s="28"/>
      <c r="C23" s="28"/>
      <c r="D23" s="28"/>
      <c r="E23" s="28"/>
      <c r="F23" s="28"/>
      <c r="G23" s="29" t="s">
        <v>35</v>
      </c>
      <c r="H23" s="29" t="s">
        <v>58</v>
      </c>
      <c r="I23" s="30">
        <f>27000</f>
        <v>27000</v>
      </c>
      <c r="J23" s="31">
        <f>48063.18</f>
        <v>48063.18</v>
      </c>
      <c r="K23" s="31"/>
      <c r="L23" s="31"/>
      <c r="M23" s="31"/>
      <c r="N23" s="32">
        <f>-21063.18</f>
        <v>-21063.18</v>
      </c>
      <c r="O23" s="32"/>
    </row>
    <row r="24" spans="1:15" s="1" customFormat="1" ht="45" customHeight="1">
      <c r="A24" s="28" t="s">
        <v>59</v>
      </c>
      <c r="B24" s="28"/>
      <c r="C24" s="28"/>
      <c r="D24" s="28"/>
      <c r="E24" s="28"/>
      <c r="F24" s="28"/>
      <c r="G24" s="29" t="s">
        <v>35</v>
      </c>
      <c r="H24" s="29" t="s">
        <v>60</v>
      </c>
      <c r="I24" s="30">
        <f>2200000</f>
        <v>2200000</v>
      </c>
      <c r="J24" s="31">
        <f>3522898.94</f>
        <v>3522898.94</v>
      </c>
      <c r="K24" s="31"/>
      <c r="L24" s="31"/>
      <c r="M24" s="31"/>
      <c r="N24" s="32">
        <f>-1322898.94</f>
        <v>-1322898.94</v>
      </c>
      <c r="O24" s="32"/>
    </row>
    <row r="25" spans="1:15" s="1" customFormat="1" ht="45" customHeight="1">
      <c r="A25" s="28" t="s">
        <v>61</v>
      </c>
      <c r="B25" s="28"/>
      <c r="C25" s="28"/>
      <c r="D25" s="28"/>
      <c r="E25" s="28"/>
      <c r="F25" s="28"/>
      <c r="G25" s="29" t="s">
        <v>35</v>
      </c>
      <c r="H25" s="29" t="s">
        <v>62</v>
      </c>
      <c r="I25" s="33" t="s">
        <v>63</v>
      </c>
      <c r="J25" s="31">
        <f>-149707.01</f>
        <v>-149707.01</v>
      </c>
      <c r="K25" s="31"/>
      <c r="L25" s="31"/>
      <c r="M25" s="31"/>
      <c r="N25" s="32">
        <f>0</f>
        <v>0</v>
      </c>
      <c r="O25" s="32"/>
    </row>
    <row r="26" spans="1:15" s="1" customFormat="1" ht="13.5" customHeight="1">
      <c r="A26" s="28" t="s">
        <v>64</v>
      </c>
      <c r="B26" s="28"/>
      <c r="C26" s="28"/>
      <c r="D26" s="28"/>
      <c r="E26" s="28"/>
      <c r="F26" s="28"/>
      <c r="G26" s="29" t="s">
        <v>35</v>
      </c>
      <c r="H26" s="29" t="s">
        <v>65</v>
      </c>
      <c r="I26" s="30">
        <f>3503000</f>
        <v>3503000</v>
      </c>
      <c r="J26" s="31">
        <f>3509676.25</f>
        <v>3509676.25</v>
      </c>
      <c r="K26" s="31"/>
      <c r="L26" s="31"/>
      <c r="M26" s="31"/>
      <c r="N26" s="32">
        <f>-6676.25</f>
        <v>-6676.25</v>
      </c>
      <c r="O26" s="32"/>
    </row>
    <row r="27" spans="1:15" s="1" customFormat="1" ht="13.5" customHeight="1">
      <c r="A27" s="28" t="s">
        <v>66</v>
      </c>
      <c r="B27" s="28"/>
      <c r="C27" s="28"/>
      <c r="D27" s="28"/>
      <c r="E27" s="28"/>
      <c r="F27" s="28"/>
      <c r="G27" s="29" t="s">
        <v>35</v>
      </c>
      <c r="H27" s="29" t="s">
        <v>67</v>
      </c>
      <c r="I27" s="30">
        <f>3503000</f>
        <v>3503000</v>
      </c>
      <c r="J27" s="31">
        <f>3509676.25</f>
        <v>3509676.25</v>
      </c>
      <c r="K27" s="31"/>
      <c r="L27" s="31"/>
      <c r="M27" s="31"/>
      <c r="N27" s="32">
        <f>-6676.25</f>
        <v>-6676.25</v>
      </c>
      <c r="O27" s="32"/>
    </row>
    <row r="28" spans="1:15" s="1" customFormat="1" ht="13.5" customHeight="1">
      <c r="A28" s="28" t="s">
        <v>66</v>
      </c>
      <c r="B28" s="28"/>
      <c r="C28" s="28"/>
      <c r="D28" s="28"/>
      <c r="E28" s="28"/>
      <c r="F28" s="28"/>
      <c r="G28" s="29" t="s">
        <v>35</v>
      </c>
      <c r="H28" s="29" t="s">
        <v>68</v>
      </c>
      <c r="I28" s="30">
        <f>3503000</f>
        <v>3503000</v>
      </c>
      <c r="J28" s="31">
        <f>3509646.25</f>
        <v>3509646.25</v>
      </c>
      <c r="K28" s="31"/>
      <c r="L28" s="31"/>
      <c r="M28" s="31"/>
      <c r="N28" s="32">
        <f>-6646.25</f>
        <v>-6646.25</v>
      </c>
      <c r="O28" s="32"/>
    </row>
    <row r="29" spans="1:15" s="1" customFormat="1" ht="24" customHeight="1">
      <c r="A29" s="28" t="s">
        <v>69</v>
      </c>
      <c r="B29" s="28"/>
      <c r="C29" s="28"/>
      <c r="D29" s="28"/>
      <c r="E29" s="28"/>
      <c r="F29" s="28"/>
      <c r="G29" s="29" t="s">
        <v>35</v>
      </c>
      <c r="H29" s="29" t="s">
        <v>70</v>
      </c>
      <c r="I29" s="33" t="s">
        <v>63</v>
      </c>
      <c r="J29" s="31">
        <f>30</f>
        <v>30</v>
      </c>
      <c r="K29" s="31"/>
      <c r="L29" s="31"/>
      <c r="M29" s="31"/>
      <c r="N29" s="32">
        <f>0</f>
        <v>0</v>
      </c>
      <c r="O29" s="32"/>
    </row>
    <row r="30" spans="1:15" s="1" customFormat="1" ht="13.5" customHeight="1">
      <c r="A30" s="28" t="s">
        <v>71</v>
      </c>
      <c r="B30" s="28"/>
      <c r="C30" s="28"/>
      <c r="D30" s="28"/>
      <c r="E30" s="28"/>
      <c r="F30" s="28"/>
      <c r="G30" s="29" t="s">
        <v>35</v>
      </c>
      <c r="H30" s="29" t="s">
        <v>72</v>
      </c>
      <c r="I30" s="30">
        <f>84183383</f>
        <v>84183383</v>
      </c>
      <c r="J30" s="31">
        <f>52930917.57</f>
        <v>52930917.57</v>
      </c>
      <c r="K30" s="31"/>
      <c r="L30" s="31"/>
      <c r="M30" s="31"/>
      <c r="N30" s="32">
        <f>31252465.43</f>
        <v>31252465.43</v>
      </c>
      <c r="O30" s="32"/>
    </row>
    <row r="31" spans="1:15" s="1" customFormat="1" ht="13.5" customHeight="1">
      <c r="A31" s="28" t="s">
        <v>73</v>
      </c>
      <c r="B31" s="28"/>
      <c r="C31" s="28"/>
      <c r="D31" s="28"/>
      <c r="E31" s="28"/>
      <c r="F31" s="28"/>
      <c r="G31" s="29" t="s">
        <v>35</v>
      </c>
      <c r="H31" s="29" t="s">
        <v>74</v>
      </c>
      <c r="I31" s="30">
        <f>5556000</f>
        <v>5556000</v>
      </c>
      <c r="J31" s="31">
        <f>3632166.24</f>
        <v>3632166.24</v>
      </c>
      <c r="K31" s="31"/>
      <c r="L31" s="31"/>
      <c r="M31" s="31"/>
      <c r="N31" s="32">
        <f>1923833.76</f>
        <v>1923833.76</v>
      </c>
      <c r="O31" s="32"/>
    </row>
    <row r="32" spans="1:15" s="1" customFormat="1" ht="24" customHeight="1">
      <c r="A32" s="28" t="s">
        <v>75</v>
      </c>
      <c r="B32" s="28"/>
      <c r="C32" s="28"/>
      <c r="D32" s="28"/>
      <c r="E32" s="28"/>
      <c r="F32" s="28"/>
      <c r="G32" s="29" t="s">
        <v>35</v>
      </c>
      <c r="H32" s="29" t="s">
        <v>76</v>
      </c>
      <c r="I32" s="30">
        <f>5556000</f>
        <v>5556000</v>
      </c>
      <c r="J32" s="31">
        <f>3632166.24</f>
        <v>3632166.24</v>
      </c>
      <c r="K32" s="31"/>
      <c r="L32" s="31"/>
      <c r="M32" s="31"/>
      <c r="N32" s="32">
        <f>1923833.76</f>
        <v>1923833.76</v>
      </c>
      <c r="O32" s="32"/>
    </row>
    <row r="33" spans="1:15" s="1" customFormat="1" ht="13.5" customHeight="1">
      <c r="A33" s="28" t="s">
        <v>77</v>
      </c>
      <c r="B33" s="28"/>
      <c r="C33" s="28"/>
      <c r="D33" s="28"/>
      <c r="E33" s="28"/>
      <c r="F33" s="28"/>
      <c r="G33" s="29" t="s">
        <v>35</v>
      </c>
      <c r="H33" s="29" t="s">
        <v>78</v>
      </c>
      <c r="I33" s="30">
        <f>78627383</f>
        <v>78627383</v>
      </c>
      <c r="J33" s="31">
        <f>49298751.33</f>
        <v>49298751.33</v>
      </c>
      <c r="K33" s="31"/>
      <c r="L33" s="31"/>
      <c r="M33" s="31"/>
      <c r="N33" s="32">
        <f>29328631.67</f>
        <v>29328631.67</v>
      </c>
      <c r="O33" s="32"/>
    </row>
    <row r="34" spans="1:15" s="1" customFormat="1" ht="13.5" customHeight="1">
      <c r="A34" s="28" t="s">
        <v>79</v>
      </c>
      <c r="B34" s="28"/>
      <c r="C34" s="28"/>
      <c r="D34" s="28"/>
      <c r="E34" s="28"/>
      <c r="F34" s="28"/>
      <c r="G34" s="29" t="s">
        <v>35</v>
      </c>
      <c r="H34" s="29" t="s">
        <v>80</v>
      </c>
      <c r="I34" s="30">
        <f>70773000</f>
        <v>70773000</v>
      </c>
      <c r="J34" s="31">
        <f>37502225.2</f>
        <v>37502225.2</v>
      </c>
      <c r="K34" s="31"/>
      <c r="L34" s="31"/>
      <c r="M34" s="31"/>
      <c r="N34" s="32">
        <f>33270774.8</f>
        <v>33270774.8</v>
      </c>
      <c r="O34" s="32"/>
    </row>
    <row r="35" spans="1:15" s="1" customFormat="1" ht="24" customHeight="1">
      <c r="A35" s="28" t="s">
        <v>81</v>
      </c>
      <c r="B35" s="28"/>
      <c r="C35" s="28"/>
      <c r="D35" s="28"/>
      <c r="E35" s="28"/>
      <c r="F35" s="28"/>
      <c r="G35" s="29" t="s">
        <v>35</v>
      </c>
      <c r="H35" s="29" t="s">
        <v>82</v>
      </c>
      <c r="I35" s="30">
        <f>70773000</f>
        <v>70773000</v>
      </c>
      <c r="J35" s="31">
        <f>37502225.2</f>
        <v>37502225.2</v>
      </c>
      <c r="K35" s="31"/>
      <c r="L35" s="31"/>
      <c r="M35" s="31"/>
      <c r="N35" s="32">
        <f>33270774.8</f>
        <v>33270774.8</v>
      </c>
      <c r="O35" s="32"/>
    </row>
    <row r="36" spans="1:15" s="1" customFormat="1" ht="13.5" customHeight="1">
      <c r="A36" s="28" t="s">
        <v>83</v>
      </c>
      <c r="B36" s="28"/>
      <c r="C36" s="28"/>
      <c r="D36" s="28"/>
      <c r="E36" s="28"/>
      <c r="F36" s="28"/>
      <c r="G36" s="29" t="s">
        <v>35</v>
      </c>
      <c r="H36" s="29" t="s">
        <v>84</v>
      </c>
      <c r="I36" s="30">
        <f>7854383</f>
        <v>7854383</v>
      </c>
      <c r="J36" s="31">
        <f>11796526.13</f>
        <v>11796526.13</v>
      </c>
      <c r="K36" s="31"/>
      <c r="L36" s="31"/>
      <c r="M36" s="31"/>
      <c r="N36" s="32">
        <f>-3942143.13</f>
        <v>-3942143.13</v>
      </c>
      <c r="O36" s="32"/>
    </row>
    <row r="37" spans="1:15" s="1" customFormat="1" ht="24" customHeight="1">
      <c r="A37" s="28" t="s">
        <v>85</v>
      </c>
      <c r="B37" s="28"/>
      <c r="C37" s="28"/>
      <c r="D37" s="28"/>
      <c r="E37" s="28"/>
      <c r="F37" s="28"/>
      <c r="G37" s="29" t="s">
        <v>35</v>
      </c>
      <c r="H37" s="29" t="s">
        <v>86</v>
      </c>
      <c r="I37" s="30">
        <f>7854383</f>
        <v>7854383</v>
      </c>
      <c r="J37" s="31">
        <f>11796526.13</f>
        <v>11796526.13</v>
      </c>
      <c r="K37" s="31"/>
      <c r="L37" s="31"/>
      <c r="M37" s="31"/>
      <c r="N37" s="32">
        <f>-3942143.13</f>
        <v>-3942143.13</v>
      </c>
      <c r="O37" s="32"/>
    </row>
    <row r="38" spans="1:15" s="1" customFormat="1" ht="24" customHeight="1">
      <c r="A38" s="28" t="s">
        <v>87</v>
      </c>
      <c r="B38" s="28"/>
      <c r="C38" s="28"/>
      <c r="D38" s="28"/>
      <c r="E38" s="28"/>
      <c r="F38" s="28"/>
      <c r="G38" s="29" t="s">
        <v>35</v>
      </c>
      <c r="H38" s="29" t="s">
        <v>88</v>
      </c>
      <c r="I38" s="33" t="s">
        <v>63</v>
      </c>
      <c r="J38" s="31">
        <f>-3950.59</f>
        <v>-3950.59</v>
      </c>
      <c r="K38" s="31"/>
      <c r="L38" s="31"/>
      <c r="M38" s="31"/>
      <c r="N38" s="32">
        <f>0</f>
        <v>0</v>
      </c>
      <c r="O38" s="32"/>
    </row>
    <row r="39" spans="1:15" s="1" customFormat="1" ht="13.5" customHeight="1">
      <c r="A39" s="28" t="s">
        <v>89</v>
      </c>
      <c r="B39" s="28"/>
      <c r="C39" s="28"/>
      <c r="D39" s="28"/>
      <c r="E39" s="28"/>
      <c r="F39" s="28"/>
      <c r="G39" s="29" t="s">
        <v>35</v>
      </c>
      <c r="H39" s="29" t="s">
        <v>90</v>
      </c>
      <c r="I39" s="33" t="s">
        <v>63</v>
      </c>
      <c r="J39" s="31">
        <f>-3950.59</f>
        <v>-3950.59</v>
      </c>
      <c r="K39" s="31"/>
      <c r="L39" s="31"/>
      <c r="M39" s="31"/>
      <c r="N39" s="32">
        <f>0</f>
        <v>0</v>
      </c>
      <c r="O39" s="32"/>
    </row>
    <row r="40" spans="1:15" s="1" customFormat="1" ht="13.5" customHeight="1">
      <c r="A40" s="28" t="s">
        <v>91</v>
      </c>
      <c r="B40" s="28"/>
      <c r="C40" s="28"/>
      <c r="D40" s="28"/>
      <c r="E40" s="28"/>
      <c r="F40" s="28"/>
      <c r="G40" s="29" t="s">
        <v>35</v>
      </c>
      <c r="H40" s="29" t="s">
        <v>92</v>
      </c>
      <c r="I40" s="33" t="s">
        <v>63</v>
      </c>
      <c r="J40" s="31">
        <f>-3950.59</f>
        <v>-3950.59</v>
      </c>
      <c r="K40" s="31"/>
      <c r="L40" s="31"/>
      <c r="M40" s="31"/>
      <c r="N40" s="32">
        <f>0</f>
        <v>0</v>
      </c>
      <c r="O40" s="32"/>
    </row>
    <row r="41" spans="1:15" s="1" customFormat="1" ht="24" customHeight="1">
      <c r="A41" s="28" t="s">
        <v>93</v>
      </c>
      <c r="B41" s="28"/>
      <c r="C41" s="28"/>
      <c r="D41" s="28"/>
      <c r="E41" s="28"/>
      <c r="F41" s="28"/>
      <c r="G41" s="29" t="s">
        <v>35</v>
      </c>
      <c r="H41" s="29" t="s">
        <v>94</v>
      </c>
      <c r="I41" s="33" t="s">
        <v>63</v>
      </c>
      <c r="J41" s="31">
        <f>-3950.59</f>
        <v>-3950.59</v>
      </c>
      <c r="K41" s="31"/>
      <c r="L41" s="31"/>
      <c r="M41" s="31"/>
      <c r="N41" s="32">
        <f>0</f>
        <v>0</v>
      </c>
      <c r="O41" s="32"/>
    </row>
    <row r="42" spans="1:15" s="1" customFormat="1" ht="24" customHeight="1">
      <c r="A42" s="28" t="s">
        <v>95</v>
      </c>
      <c r="B42" s="28"/>
      <c r="C42" s="28"/>
      <c r="D42" s="28"/>
      <c r="E42" s="28"/>
      <c r="F42" s="28"/>
      <c r="G42" s="29" t="s">
        <v>35</v>
      </c>
      <c r="H42" s="29" t="s">
        <v>96</v>
      </c>
      <c r="I42" s="30">
        <f>19902000</f>
        <v>19902000</v>
      </c>
      <c r="J42" s="31">
        <f>13378326.53</f>
        <v>13378326.53</v>
      </c>
      <c r="K42" s="31"/>
      <c r="L42" s="31"/>
      <c r="M42" s="31"/>
      <c r="N42" s="32">
        <f>6523673.47</f>
        <v>6523673.47</v>
      </c>
      <c r="O42" s="32"/>
    </row>
    <row r="43" spans="1:15" s="1" customFormat="1" ht="54.75" customHeight="1">
      <c r="A43" s="28" t="s">
        <v>97</v>
      </c>
      <c r="B43" s="28"/>
      <c r="C43" s="28"/>
      <c r="D43" s="28"/>
      <c r="E43" s="28"/>
      <c r="F43" s="28"/>
      <c r="G43" s="29" t="s">
        <v>35</v>
      </c>
      <c r="H43" s="29" t="s">
        <v>98</v>
      </c>
      <c r="I43" s="30">
        <f>19902000</f>
        <v>19902000</v>
      </c>
      <c r="J43" s="31">
        <f>13203726.53</f>
        <v>13203726.53</v>
      </c>
      <c r="K43" s="31"/>
      <c r="L43" s="31"/>
      <c r="M43" s="31"/>
      <c r="N43" s="32">
        <f>6698273.47</f>
        <v>6698273.47</v>
      </c>
      <c r="O43" s="32"/>
    </row>
    <row r="44" spans="1:15" s="1" customFormat="1" ht="45" customHeight="1">
      <c r="A44" s="28" t="s">
        <v>99</v>
      </c>
      <c r="B44" s="28"/>
      <c r="C44" s="28"/>
      <c r="D44" s="28"/>
      <c r="E44" s="28"/>
      <c r="F44" s="28"/>
      <c r="G44" s="29" t="s">
        <v>35</v>
      </c>
      <c r="H44" s="29" t="s">
        <v>100</v>
      </c>
      <c r="I44" s="30">
        <f>19902000</f>
        <v>19902000</v>
      </c>
      <c r="J44" s="31">
        <f>13129326.53</f>
        <v>13129326.53</v>
      </c>
      <c r="K44" s="31"/>
      <c r="L44" s="31"/>
      <c r="M44" s="31"/>
      <c r="N44" s="32">
        <f>6772673.47</f>
        <v>6772673.47</v>
      </c>
      <c r="O44" s="32"/>
    </row>
    <row r="45" spans="1:15" s="1" customFormat="1" ht="45" customHeight="1">
      <c r="A45" s="28" t="s">
        <v>101</v>
      </c>
      <c r="B45" s="28"/>
      <c r="C45" s="28"/>
      <c r="D45" s="28"/>
      <c r="E45" s="28"/>
      <c r="F45" s="28"/>
      <c r="G45" s="29" t="s">
        <v>35</v>
      </c>
      <c r="H45" s="29" t="s">
        <v>102</v>
      </c>
      <c r="I45" s="30">
        <f>19902000</f>
        <v>19902000</v>
      </c>
      <c r="J45" s="31">
        <f>13129326.53</f>
        <v>13129326.53</v>
      </c>
      <c r="K45" s="31"/>
      <c r="L45" s="31"/>
      <c r="M45" s="31"/>
      <c r="N45" s="32">
        <f>6772673.47</f>
        <v>6772673.47</v>
      </c>
      <c r="O45" s="32"/>
    </row>
    <row r="46" spans="1:15" s="1" customFormat="1" ht="45" customHeight="1">
      <c r="A46" s="28" t="s">
        <v>103</v>
      </c>
      <c r="B46" s="28"/>
      <c r="C46" s="28"/>
      <c r="D46" s="28"/>
      <c r="E46" s="28"/>
      <c r="F46" s="28"/>
      <c r="G46" s="29" t="s">
        <v>35</v>
      </c>
      <c r="H46" s="29" t="s">
        <v>104</v>
      </c>
      <c r="I46" s="33" t="s">
        <v>63</v>
      </c>
      <c r="J46" s="31">
        <f>74400</f>
        <v>74400</v>
      </c>
      <c r="K46" s="31"/>
      <c r="L46" s="31"/>
      <c r="M46" s="31"/>
      <c r="N46" s="32">
        <f>0</f>
        <v>0</v>
      </c>
      <c r="O46" s="32"/>
    </row>
    <row r="47" spans="1:15" s="1" customFormat="1" ht="45" customHeight="1">
      <c r="A47" s="28" t="s">
        <v>105</v>
      </c>
      <c r="B47" s="28"/>
      <c r="C47" s="28"/>
      <c r="D47" s="28"/>
      <c r="E47" s="28"/>
      <c r="F47" s="28"/>
      <c r="G47" s="29" t="s">
        <v>35</v>
      </c>
      <c r="H47" s="29" t="s">
        <v>106</v>
      </c>
      <c r="I47" s="33" t="s">
        <v>63</v>
      </c>
      <c r="J47" s="31">
        <f>74400</f>
        <v>74400</v>
      </c>
      <c r="K47" s="31"/>
      <c r="L47" s="31"/>
      <c r="M47" s="31"/>
      <c r="N47" s="32">
        <f>0</f>
        <v>0</v>
      </c>
      <c r="O47" s="32"/>
    </row>
    <row r="48" spans="1:15" s="1" customFormat="1" ht="13.5" customHeight="1">
      <c r="A48" s="28" t="s">
        <v>107</v>
      </c>
      <c r="B48" s="28"/>
      <c r="C48" s="28"/>
      <c r="D48" s="28"/>
      <c r="E48" s="28"/>
      <c r="F48" s="28"/>
      <c r="G48" s="29" t="s">
        <v>35</v>
      </c>
      <c r="H48" s="29" t="s">
        <v>108</v>
      </c>
      <c r="I48" s="33" t="s">
        <v>63</v>
      </c>
      <c r="J48" s="31">
        <f>174600</f>
        <v>174600</v>
      </c>
      <c r="K48" s="31"/>
      <c r="L48" s="31"/>
      <c r="M48" s="31"/>
      <c r="N48" s="32">
        <f>0</f>
        <v>0</v>
      </c>
      <c r="O48" s="32"/>
    </row>
    <row r="49" spans="1:15" s="1" customFormat="1" ht="33.75" customHeight="1">
      <c r="A49" s="28" t="s">
        <v>109</v>
      </c>
      <c r="B49" s="28"/>
      <c r="C49" s="28"/>
      <c r="D49" s="28"/>
      <c r="E49" s="28"/>
      <c r="F49" s="28"/>
      <c r="G49" s="29" t="s">
        <v>35</v>
      </c>
      <c r="H49" s="29" t="s">
        <v>110</v>
      </c>
      <c r="I49" s="33" t="s">
        <v>63</v>
      </c>
      <c r="J49" s="31">
        <f>174600</f>
        <v>174600</v>
      </c>
      <c r="K49" s="31"/>
      <c r="L49" s="31"/>
      <c r="M49" s="31"/>
      <c r="N49" s="32">
        <f>0</f>
        <v>0</v>
      </c>
      <c r="O49" s="32"/>
    </row>
    <row r="50" spans="1:15" s="1" customFormat="1" ht="33.75" customHeight="1">
      <c r="A50" s="28" t="s">
        <v>111</v>
      </c>
      <c r="B50" s="28"/>
      <c r="C50" s="28"/>
      <c r="D50" s="28"/>
      <c r="E50" s="28"/>
      <c r="F50" s="28"/>
      <c r="G50" s="29" t="s">
        <v>35</v>
      </c>
      <c r="H50" s="29" t="s">
        <v>112</v>
      </c>
      <c r="I50" s="33" t="s">
        <v>63</v>
      </c>
      <c r="J50" s="31">
        <f>174600</f>
        <v>174600</v>
      </c>
      <c r="K50" s="31"/>
      <c r="L50" s="31"/>
      <c r="M50" s="31"/>
      <c r="N50" s="32">
        <f>0</f>
        <v>0</v>
      </c>
      <c r="O50" s="32"/>
    </row>
    <row r="51" spans="1:15" s="1" customFormat="1" ht="13.5" customHeight="1">
      <c r="A51" s="28" t="s">
        <v>113</v>
      </c>
      <c r="B51" s="28"/>
      <c r="C51" s="28"/>
      <c r="D51" s="28"/>
      <c r="E51" s="28"/>
      <c r="F51" s="28"/>
      <c r="G51" s="29" t="s">
        <v>35</v>
      </c>
      <c r="H51" s="29" t="s">
        <v>114</v>
      </c>
      <c r="I51" s="30">
        <f>4002653</f>
        <v>4002653</v>
      </c>
      <c r="J51" s="31">
        <f>6910365.9</f>
        <v>6910365.9</v>
      </c>
      <c r="K51" s="31"/>
      <c r="L51" s="31"/>
      <c r="M51" s="31"/>
      <c r="N51" s="32">
        <f>-2907712.9</f>
        <v>-2907712.9</v>
      </c>
      <c r="O51" s="32"/>
    </row>
    <row r="52" spans="1:15" s="1" customFormat="1" ht="45" customHeight="1">
      <c r="A52" s="28" t="s">
        <v>115</v>
      </c>
      <c r="B52" s="28"/>
      <c r="C52" s="28"/>
      <c r="D52" s="28"/>
      <c r="E52" s="28"/>
      <c r="F52" s="28"/>
      <c r="G52" s="29" t="s">
        <v>35</v>
      </c>
      <c r="H52" s="29" t="s">
        <v>116</v>
      </c>
      <c r="I52" s="30">
        <f>134000</f>
        <v>134000</v>
      </c>
      <c r="J52" s="31">
        <f>198628</f>
        <v>198628</v>
      </c>
      <c r="K52" s="31"/>
      <c r="L52" s="31"/>
      <c r="M52" s="31"/>
      <c r="N52" s="32">
        <f>-64628</f>
        <v>-64628</v>
      </c>
      <c r="O52" s="32"/>
    </row>
    <row r="53" spans="1:15" s="1" customFormat="1" ht="54.75" customHeight="1">
      <c r="A53" s="28" t="s">
        <v>117</v>
      </c>
      <c r="B53" s="28"/>
      <c r="C53" s="28"/>
      <c r="D53" s="28"/>
      <c r="E53" s="28"/>
      <c r="F53" s="28"/>
      <c r="G53" s="29" t="s">
        <v>35</v>
      </c>
      <c r="H53" s="29" t="s">
        <v>118</v>
      </c>
      <c r="I53" s="30">
        <f>134000</f>
        <v>134000</v>
      </c>
      <c r="J53" s="31">
        <f>198628</f>
        <v>198628</v>
      </c>
      <c r="K53" s="31"/>
      <c r="L53" s="31"/>
      <c r="M53" s="31"/>
      <c r="N53" s="32">
        <f>-64628</f>
        <v>-64628</v>
      </c>
      <c r="O53" s="32"/>
    </row>
    <row r="54" spans="1:15" s="1" customFormat="1" ht="54.75" customHeight="1">
      <c r="A54" s="28" t="s">
        <v>119</v>
      </c>
      <c r="B54" s="28"/>
      <c r="C54" s="28"/>
      <c r="D54" s="28"/>
      <c r="E54" s="28"/>
      <c r="F54" s="28"/>
      <c r="G54" s="29" t="s">
        <v>35</v>
      </c>
      <c r="H54" s="29" t="s">
        <v>120</v>
      </c>
      <c r="I54" s="30">
        <f>134000</f>
        <v>134000</v>
      </c>
      <c r="J54" s="31">
        <f>198628</f>
        <v>198628</v>
      </c>
      <c r="K54" s="31"/>
      <c r="L54" s="31"/>
      <c r="M54" s="31"/>
      <c r="N54" s="32">
        <f>-64628</f>
        <v>-64628</v>
      </c>
      <c r="O54" s="32"/>
    </row>
    <row r="55" spans="1:15" s="1" customFormat="1" ht="24" customHeight="1">
      <c r="A55" s="28" t="s">
        <v>121</v>
      </c>
      <c r="B55" s="28"/>
      <c r="C55" s="28"/>
      <c r="D55" s="28"/>
      <c r="E55" s="28"/>
      <c r="F55" s="28"/>
      <c r="G55" s="29" t="s">
        <v>35</v>
      </c>
      <c r="H55" s="29" t="s">
        <v>122</v>
      </c>
      <c r="I55" s="30">
        <f>3868653</f>
        <v>3868653</v>
      </c>
      <c r="J55" s="31">
        <f>6711737.9</f>
        <v>6711737.9</v>
      </c>
      <c r="K55" s="31"/>
      <c r="L55" s="31"/>
      <c r="M55" s="31"/>
      <c r="N55" s="32">
        <f>-2843084.9</f>
        <v>-2843084.9</v>
      </c>
      <c r="O55" s="32"/>
    </row>
    <row r="56" spans="1:15" s="1" customFormat="1" ht="24" customHeight="1">
      <c r="A56" s="28" t="s">
        <v>123</v>
      </c>
      <c r="B56" s="28"/>
      <c r="C56" s="28"/>
      <c r="D56" s="28"/>
      <c r="E56" s="28"/>
      <c r="F56" s="28"/>
      <c r="G56" s="29" t="s">
        <v>35</v>
      </c>
      <c r="H56" s="29" t="s">
        <v>124</v>
      </c>
      <c r="I56" s="30">
        <f>3868653</f>
        <v>3868653</v>
      </c>
      <c r="J56" s="31">
        <f>6559307.9</f>
        <v>6559307.9</v>
      </c>
      <c r="K56" s="31"/>
      <c r="L56" s="31"/>
      <c r="M56" s="31"/>
      <c r="N56" s="32">
        <f>-2690654.9</f>
        <v>-2690654.9</v>
      </c>
      <c r="O56" s="32"/>
    </row>
    <row r="57" spans="1:15" s="1" customFormat="1" ht="33.75" customHeight="1">
      <c r="A57" s="28" t="s">
        <v>125</v>
      </c>
      <c r="B57" s="28"/>
      <c r="C57" s="28"/>
      <c r="D57" s="28"/>
      <c r="E57" s="28"/>
      <c r="F57" s="28"/>
      <c r="G57" s="29" t="s">
        <v>35</v>
      </c>
      <c r="H57" s="29" t="s">
        <v>126</v>
      </c>
      <c r="I57" s="30">
        <f>3868653</f>
        <v>3868653</v>
      </c>
      <c r="J57" s="31">
        <f>6559307.9</f>
        <v>6559307.9</v>
      </c>
      <c r="K57" s="31"/>
      <c r="L57" s="31"/>
      <c r="M57" s="31"/>
      <c r="N57" s="32">
        <f>-2690654.9</f>
        <v>-2690654.9</v>
      </c>
      <c r="O57" s="32"/>
    </row>
    <row r="58" spans="1:15" s="1" customFormat="1" ht="33.75" customHeight="1">
      <c r="A58" s="28" t="s">
        <v>127</v>
      </c>
      <c r="B58" s="28"/>
      <c r="C58" s="28"/>
      <c r="D58" s="28"/>
      <c r="E58" s="28"/>
      <c r="F58" s="28"/>
      <c r="G58" s="29" t="s">
        <v>35</v>
      </c>
      <c r="H58" s="29" t="s">
        <v>128</v>
      </c>
      <c r="I58" s="33" t="s">
        <v>63</v>
      </c>
      <c r="J58" s="31">
        <f>152430</f>
        <v>152430</v>
      </c>
      <c r="K58" s="31"/>
      <c r="L58" s="31"/>
      <c r="M58" s="31"/>
      <c r="N58" s="32">
        <f>0</f>
        <v>0</v>
      </c>
      <c r="O58" s="32"/>
    </row>
    <row r="59" spans="1:15" s="1" customFormat="1" ht="33.75" customHeight="1">
      <c r="A59" s="28" t="s">
        <v>129</v>
      </c>
      <c r="B59" s="28"/>
      <c r="C59" s="28"/>
      <c r="D59" s="28"/>
      <c r="E59" s="28"/>
      <c r="F59" s="28"/>
      <c r="G59" s="29" t="s">
        <v>35</v>
      </c>
      <c r="H59" s="29" t="s">
        <v>130</v>
      </c>
      <c r="I59" s="33" t="s">
        <v>63</v>
      </c>
      <c r="J59" s="31">
        <f>152430</f>
        <v>152430</v>
      </c>
      <c r="K59" s="31"/>
      <c r="L59" s="31"/>
      <c r="M59" s="31"/>
      <c r="N59" s="32">
        <f>0</f>
        <v>0</v>
      </c>
      <c r="O59" s="32"/>
    </row>
    <row r="60" spans="1:15" s="1" customFormat="1" ht="13.5" customHeight="1">
      <c r="A60" s="28" t="s">
        <v>131</v>
      </c>
      <c r="B60" s="28"/>
      <c r="C60" s="28"/>
      <c r="D60" s="28"/>
      <c r="E60" s="28"/>
      <c r="F60" s="28"/>
      <c r="G60" s="29" t="s">
        <v>35</v>
      </c>
      <c r="H60" s="29" t="s">
        <v>132</v>
      </c>
      <c r="I60" s="30">
        <f>2779300</f>
        <v>2779300</v>
      </c>
      <c r="J60" s="31">
        <f>2820701.35</f>
        <v>2820701.35</v>
      </c>
      <c r="K60" s="31"/>
      <c r="L60" s="31"/>
      <c r="M60" s="31"/>
      <c r="N60" s="32">
        <f>-41401.35</f>
        <v>-41401.35</v>
      </c>
      <c r="O60" s="32"/>
    </row>
    <row r="61" spans="1:15" s="1" customFormat="1" ht="33.75" customHeight="1">
      <c r="A61" s="28" t="s">
        <v>133</v>
      </c>
      <c r="B61" s="28"/>
      <c r="C61" s="28"/>
      <c r="D61" s="28"/>
      <c r="E61" s="28"/>
      <c r="F61" s="28"/>
      <c r="G61" s="29" t="s">
        <v>35</v>
      </c>
      <c r="H61" s="29" t="s">
        <v>134</v>
      </c>
      <c r="I61" s="30">
        <f>20800</f>
        <v>20800</v>
      </c>
      <c r="J61" s="31">
        <f>46899.41</f>
        <v>46899.41</v>
      </c>
      <c r="K61" s="31"/>
      <c r="L61" s="31"/>
      <c r="M61" s="31"/>
      <c r="N61" s="32">
        <f>-26099.41</f>
        <v>-26099.41</v>
      </c>
      <c r="O61" s="32"/>
    </row>
    <row r="62" spans="1:15" s="1" customFormat="1" ht="45" customHeight="1">
      <c r="A62" s="28" t="s">
        <v>135</v>
      </c>
      <c r="B62" s="28"/>
      <c r="C62" s="28"/>
      <c r="D62" s="28"/>
      <c r="E62" s="28"/>
      <c r="F62" s="28"/>
      <c r="G62" s="29" t="s">
        <v>35</v>
      </c>
      <c r="H62" s="29" t="s">
        <v>136</v>
      </c>
      <c r="I62" s="30">
        <f>20800</f>
        <v>20800</v>
      </c>
      <c r="J62" s="31">
        <f>46899.41</f>
        <v>46899.41</v>
      </c>
      <c r="K62" s="31"/>
      <c r="L62" s="31"/>
      <c r="M62" s="31"/>
      <c r="N62" s="32">
        <f>-26099.41</f>
        <v>-26099.41</v>
      </c>
      <c r="O62" s="32"/>
    </row>
    <row r="63" spans="1:15" s="1" customFormat="1" ht="33.75" customHeight="1">
      <c r="A63" s="28" t="s">
        <v>137</v>
      </c>
      <c r="B63" s="28"/>
      <c r="C63" s="28"/>
      <c r="D63" s="28"/>
      <c r="E63" s="28"/>
      <c r="F63" s="28"/>
      <c r="G63" s="29" t="s">
        <v>35</v>
      </c>
      <c r="H63" s="29" t="s">
        <v>138</v>
      </c>
      <c r="I63" s="30">
        <f>2646000</f>
        <v>2646000</v>
      </c>
      <c r="J63" s="31">
        <f>2646234.07</f>
        <v>2646234.07</v>
      </c>
      <c r="K63" s="31"/>
      <c r="L63" s="31"/>
      <c r="M63" s="31"/>
      <c r="N63" s="32">
        <f>-234.07</f>
        <v>-234.07</v>
      </c>
      <c r="O63" s="32"/>
    </row>
    <row r="64" spans="1:15" s="1" customFormat="1" ht="45" customHeight="1">
      <c r="A64" s="28" t="s">
        <v>139</v>
      </c>
      <c r="B64" s="28"/>
      <c r="C64" s="28"/>
      <c r="D64" s="28"/>
      <c r="E64" s="28"/>
      <c r="F64" s="28"/>
      <c r="G64" s="29" t="s">
        <v>35</v>
      </c>
      <c r="H64" s="29" t="s">
        <v>140</v>
      </c>
      <c r="I64" s="30">
        <f>2646000</f>
        <v>2646000</v>
      </c>
      <c r="J64" s="31">
        <f>2646234.07</f>
        <v>2646234.07</v>
      </c>
      <c r="K64" s="31"/>
      <c r="L64" s="31"/>
      <c r="M64" s="31"/>
      <c r="N64" s="32">
        <f>-234.07</f>
        <v>-234.07</v>
      </c>
      <c r="O64" s="32"/>
    </row>
    <row r="65" spans="1:15" s="1" customFormat="1" ht="24" customHeight="1">
      <c r="A65" s="28" t="s">
        <v>141</v>
      </c>
      <c r="B65" s="28"/>
      <c r="C65" s="28"/>
      <c r="D65" s="28"/>
      <c r="E65" s="28"/>
      <c r="F65" s="28"/>
      <c r="G65" s="29" t="s">
        <v>35</v>
      </c>
      <c r="H65" s="29" t="s">
        <v>142</v>
      </c>
      <c r="I65" s="30">
        <f>55500</f>
        <v>55500</v>
      </c>
      <c r="J65" s="31">
        <f>77038.64</f>
        <v>77038.64</v>
      </c>
      <c r="K65" s="31"/>
      <c r="L65" s="31"/>
      <c r="M65" s="31"/>
      <c r="N65" s="32">
        <f>-21538.64</f>
        <v>-21538.64</v>
      </c>
      <c r="O65" s="32"/>
    </row>
    <row r="66" spans="1:15" s="1" customFormat="1" ht="33.75" customHeight="1">
      <c r="A66" s="28" t="s">
        <v>143</v>
      </c>
      <c r="B66" s="28"/>
      <c r="C66" s="28"/>
      <c r="D66" s="28"/>
      <c r="E66" s="28"/>
      <c r="F66" s="28"/>
      <c r="G66" s="29" t="s">
        <v>35</v>
      </c>
      <c r="H66" s="29" t="s">
        <v>144</v>
      </c>
      <c r="I66" s="30">
        <f>55500</f>
        <v>55500</v>
      </c>
      <c r="J66" s="31">
        <f>77038.64</f>
        <v>77038.64</v>
      </c>
      <c r="K66" s="31"/>
      <c r="L66" s="31"/>
      <c r="M66" s="31"/>
      <c r="N66" s="32">
        <f>-21538.64</f>
        <v>-21538.64</v>
      </c>
      <c r="O66" s="32"/>
    </row>
    <row r="67" spans="1:15" s="1" customFormat="1" ht="24" customHeight="1">
      <c r="A67" s="28" t="s">
        <v>145</v>
      </c>
      <c r="B67" s="28"/>
      <c r="C67" s="28"/>
      <c r="D67" s="28"/>
      <c r="E67" s="28"/>
      <c r="F67" s="28"/>
      <c r="G67" s="29" t="s">
        <v>35</v>
      </c>
      <c r="H67" s="29" t="s">
        <v>146</v>
      </c>
      <c r="I67" s="30">
        <f>57000</f>
        <v>57000</v>
      </c>
      <c r="J67" s="31">
        <f>50529.23</f>
        <v>50529.23</v>
      </c>
      <c r="K67" s="31"/>
      <c r="L67" s="31"/>
      <c r="M67" s="31"/>
      <c r="N67" s="32">
        <f>6470.77</f>
        <v>6470.77</v>
      </c>
      <c r="O67" s="32"/>
    </row>
    <row r="68" spans="1:15" s="1" customFormat="1" ht="24" customHeight="1">
      <c r="A68" s="28" t="s">
        <v>147</v>
      </c>
      <c r="B68" s="28"/>
      <c r="C68" s="28"/>
      <c r="D68" s="28"/>
      <c r="E68" s="28"/>
      <c r="F68" s="28"/>
      <c r="G68" s="29" t="s">
        <v>35</v>
      </c>
      <c r="H68" s="29" t="s">
        <v>148</v>
      </c>
      <c r="I68" s="30">
        <f>57000</f>
        <v>57000</v>
      </c>
      <c r="J68" s="31">
        <f>50529.23</f>
        <v>50529.23</v>
      </c>
      <c r="K68" s="31"/>
      <c r="L68" s="31"/>
      <c r="M68" s="31"/>
      <c r="N68" s="32">
        <f>6470.77</f>
        <v>6470.77</v>
      </c>
      <c r="O68" s="32"/>
    </row>
    <row r="69" spans="1:15" s="1" customFormat="1" ht="13.5" customHeight="1">
      <c r="A69" s="28" t="s">
        <v>149</v>
      </c>
      <c r="B69" s="28"/>
      <c r="C69" s="28"/>
      <c r="D69" s="28"/>
      <c r="E69" s="28"/>
      <c r="F69" s="28"/>
      <c r="G69" s="29" t="s">
        <v>35</v>
      </c>
      <c r="H69" s="29" t="s">
        <v>150</v>
      </c>
      <c r="I69" s="30">
        <f>200000</f>
        <v>200000</v>
      </c>
      <c r="J69" s="31">
        <f>218310</f>
        <v>218310</v>
      </c>
      <c r="K69" s="31"/>
      <c r="L69" s="31"/>
      <c r="M69" s="31"/>
      <c r="N69" s="32">
        <f>-18310</f>
        <v>-18310</v>
      </c>
      <c r="O69" s="32"/>
    </row>
    <row r="70" spans="1:15" s="1" customFormat="1" ht="13.5" customHeight="1">
      <c r="A70" s="28" t="s">
        <v>151</v>
      </c>
      <c r="B70" s="28"/>
      <c r="C70" s="28"/>
      <c r="D70" s="28"/>
      <c r="E70" s="28"/>
      <c r="F70" s="28"/>
      <c r="G70" s="29" t="s">
        <v>35</v>
      </c>
      <c r="H70" s="29" t="s">
        <v>152</v>
      </c>
      <c r="I70" s="30">
        <f>200000</f>
        <v>200000</v>
      </c>
      <c r="J70" s="31">
        <f>218310</f>
        <v>218310</v>
      </c>
      <c r="K70" s="31"/>
      <c r="L70" s="31"/>
      <c r="M70" s="31"/>
      <c r="N70" s="32">
        <f>-18310</f>
        <v>-18310</v>
      </c>
      <c r="O70" s="32"/>
    </row>
    <row r="71" spans="1:15" s="1" customFormat="1" ht="13.5" customHeight="1">
      <c r="A71" s="28" t="s">
        <v>153</v>
      </c>
      <c r="B71" s="28"/>
      <c r="C71" s="28"/>
      <c r="D71" s="28"/>
      <c r="E71" s="28"/>
      <c r="F71" s="28"/>
      <c r="G71" s="29" t="s">
        <v>35</v>
      </c>
      <c r="H71" s="29" t="s">
        <v>154</v>
      </c>
      <c r="I71" s="30">
        <f>200000</f>
        <v>200000</v>
      </c>
      <c r="J71" s="31">
        <f>218310</f>
        <v>218310</v>
      </c>
      <c r="K71" s="31"/>
      <c r="L71" s="31"/>
      <c r="M71" s="31"/>
      <c r="N71" s="32">
        <f>-18310</f>
        <v>-18310</v>
      </c>
      <c r="O71" s="32"/>
    </row>
    <row r="72" spans="1:15" s="1" customFormat="1" ht="13.5" customHeight="1">
      <c r="A72" s="28" t="s">
        <v>155</v>
      </c>
      <c r="B72" s="28"/>
      <c r="C72" s="28"/>
      <c r="D72" s="28"/>
      <c r="E72" s="28"/>
      <c r="F72" s="28"/>
      <c r="G72" s="29" t="s">
        <v>35</v>
      </c>
      <c r="H72" s="29" t="s">
        <v>156</v>
      </c>
      <c r="I72" s="30">
        <f>244493490.59</f>
        <v>244493490.59</v>
      </c>
      <c r="J72" s="31">
        <f>116879979.38</f>
        <v>116879979.38</v>
      </c>
      <c r="K72" s="31"/>
      <c r="L72" s="31"/>
      <c r="M72" s="31"/>
      <c r="N72" s="32">
        <f>127613511.21</f>
        <v>127613511.21</v>
      </c>
      <c r="O72" s="32"/>
    </row>
    <row r="73" spans="1:15" s="1" customFormat="1" ht="24" customHeight="1">
      <c r="A73" s="28" t="s">
        <v>157</v>
      </c>
      <c r="B73" s="28"/>
      <c r="C73" s="28"/>
      <c r="D73" s="28"/>
      <c r="E73" s="28"/>
      <c r="F73" s="28"/>
      <c r="G73" s="29" t="s">
        <v>35</v>
      </c>
      <c r="H73" s="29" t="s">
        <v>158</v>
      </c>
      <c r="I73" s="30">
        <f>244593352.77</f>
        <v>244593352.77</v>
      </c>
      <c r="J73" s="31">
        <f>116979767.31</f>
        <v>116979767.31</v>
      </c>
      <c r="K73" s="31"/>
      <c r="L73" s="31"/>
      <c r="M73" s="31"/>
      <c r="N73" s="32">
        <f>127613585.46</f>
        <v>127613585.46</v>
      </c>
      <c r="O73" s="32"/>
    </row>
    <row r="74" spans="1:15" s="1" customFormat="1" ht="24" customHeight="1">
      <c r="A74" s="28" t="s">
        <v>159</v>
      </c>
      <c r="B74" s="28"/>
      <c r="C74" s="28"/>
      <c r="D74" s="28"/>
      <c r="E74" s="28"/>
      <c r="F74" s="28"/>
      <c r="G74" s="29" t="s">
        <v>35</v>
      </c>
      <c r="H74" s="29" t="s">
        <v>160</v>
      </c>
      <c r="I74" s="30">
        <f>244380952.77</f>
        <v>244380952.77</v>
      </c>
      <c r="J74" s="31">
        <f>116767367.31</f>
        <v>116767367.31</v>
      </c>
      <c r="K74" s="31"/>
      <c r="L74" s="31"/>
      <c r="M74" s="31"/>
      <c r="N74" s="32">
        <f>127613585.46</f>
        <v>127613585.46</v>
      </c>
      <c r="O74" s="32"/>
    </row>
    <row r="75" spans="1:15" s="1" customFormat="1" ht="13.5" customHeight="1">
      <c r="A75" s="28" t="s">
        <v>161</v>
      </c>
      <c r="B75" s="28"/>
      <c r="C75" s="28"/>
      <c r="D75" s="28"/>
      <c r="E75" s="28"/>
      <c r="F75" s="28"/>
      <c r="G75" s="29" t="s">
        <v>35</v>
      </c>
      <c r="H75" s="29" t="s">
        <v>162</v>
      </c>
      <c r="I75" s="30">
        <f>244380952.77</f>
        <v>244380952.77</v>
      </c>
      <c r="J75" s="31">
        <f>116767367.31</f>
        <v>116767367.31</v>
      </c>
      <c r="K75" s="31"/>
      <c r="L75" s="31"/>
      <c r="M75" s="31"/>
      <c r="N75" s="32">
        <f>127613585.46</f>
        <v>127613585.46</v>
      </c>
      <c r="O75" s="32"/>
    </row>
    <row r="76" spans="1:15" s="1" customFormat="1" ht="13.5" customHeight="1">
      <c r="A76" s="28" t="s">
        <v>163</v>
      </c>
      <c r="B76" s="28"/>
      <c r="C76" s="28"/>
      <c r="D76" s="28"/>
      <c r="E76" s="28"/>
      <c r="F76" s="28"/>
      <c r="G76" s="29" t="s">
        <v>35</v>
      </c>
      <c r="H76" s="29" t="s">
        <v>164</v>
      </c>
      <c r="I76" s="30">
        <f>244380952.77</f>
        <v>244380952.77</v>
      </c>
      <c r="J76" s="31">
        <f>116767367.31</f>
        <v>116767367.31</v>
      </c>
      <c r="K76" s="31"/>
      <c r="L76" s="31"/>
      <c r="M76" s="31"/>
      <c r="N76" s="32">
        <f>127613585.46</f>
        <v>127613585.46</v>
      </c>
      <c r="O76" s="32"/>
    </row>
    <row r="77" spans="1:15" s="1" customFormat="1" ht="24" customHeight="1">
      <c r="A77" s="28" t="s">
        <v>165</v>
      </c>
      <c r="B77" s="28"/>
      <c r="C77" s="28"/>
      <c r="D77" s="28"/>
      <c r="E77" s="28"/>
      <c r="F77" s="28"/>
      <c r="G77" s="29" t="s">
        <v>35</v>
      </c>
      <c r="H77" s="29" t="s">
        <v>166</v>
      </c>
      <c r="I77" s="30">
        <f aca="true" t="shared" si="0" ref="I77:J79">12400</f>
        <v>12400</v>
      </c>
      <c r="J77" s="31">
        <f t="shared" si="0"/>
        <v>12400</v>
      </c>
      <c r="K77" s="31"/>
      <c r="L77" s="31"/>
      <c r="M77" s="31"/>
      <c r="N77" s="32">
        <f aca="true" t="shared" si="1" ref="N77:N85">0</f>
        <v>0</v>
      </c>
      <c r="O77" s="32"/>
    </row>
    <row r="78" spans="1:15" s="1" customFormat="1" ht="24" customHeight="1">
      <c r="A78" s="28" t="s">
        <v>167</v>
      </c>
      <c r="B78" s="28"/>
      <c r="C78" s="28"/>
      <c r="D78" s="28"/>
      <c r="E78" s="28"/>
      <c r="F78" s="28"/>
      <c r="G78" s="29" t="s">
        <v>35</v>
      </c>
      <c r="H78" s="29" t="s">
        <v>168</v>
      </c>
      <c r="I78" s="30">
        <f t="shared" si="0"/>
        <v>12400</v>
      </c>
      <c r="J78" s="31">
        <f t="shared" si="0"/>
        <v>12400</v>
      </c>
      <c r="K78" s="31"/>
      <c r="L78" s="31"/>
      <c r="M78" s="31"/>
      <c r="N78" s="32">
        <f t="shared" si="1"/>
        <v>0</v>
      </c>
      <c r="O78" s="32"/>
    </row>
    <row r="79" spans="1:15" s="1" customFormat="1" ht="24" customHeight="1">
      <c r="A79" s="28" t="s">
        <v>169</v>
      </c>
      <c r="B79" s="28"/>
      <c r="C79" s="28"/>
      <c r="D79" s="28"/>
      <c r="E79" s="28"/>
      <c r="F79" s="28"/>
      <c r="G79" s="29" t="s">
        <v>35</v>
      </c>
      <c r="H79" s="29" t="s">
        <v>170</v>
      </c>
      <c r="I79" s="30">
        <f t="shared" si="0"/>
        <v>12400</v>
      </c>
      <c r="J79" s="31">
        <f t="shared" si="0"/>
        <v>12400</v>
      </c>
      <c r="K79" s="31"/>
      <c r="L79" s="31"/>
      <c r="M79" s="31"/>
      <c r="N79" s="32">
        <f t="shared" si="1"/>
        <v>0</v>
      </c>
      <c r="O79" s="32"/>
    </row>
    <row r="80" spans="1:15" s="1" customFormat="1" ht="13.5" customHeight="1">
      <c r="A80" s="28" t="s">
        <v>171</v>
      </c>
      <c r="B80" s="28"/>
      <c r="C80" s="28"/>
      <c r="D80" s="28"/>
      <c r="E80" s="28"/>
      <c r="F80" s="28"/>
      <c r="G80" s="29" t="s">
        <v>35</v>
      </c>
      <c r="H80" s="29" t="s">
        <v>172</v>
      </c>
      <c r="I80" s="30">
        <f aca="true" t="shared" si="2" ref="I80:J82">200000</f>
        <v>200000</v>
      </c>
      <c r="J80" s="31">
        <f t="shared" si="2"/>
        <v>200000</v>
      </c>
      <c r="K80" s="31"/>
      <c r="L80" s="31"/>
      <c r="M80" s="31"/>
      <c r="N80" s="32">
        <f t="shared" si="1"/>
        <v>0</v>
      </c>
      <c r="O80" s="32"/>
    </row>
    <row r="81" spans="1:15" s="1" customFormat="1" ht="13.5" customHeight="1">
      <c r="A81" s="28" t="s">
        <v>173</v>
      </c>
      <c r="B81" s="28"/>
      <c r="C81" s="28"/>
      <c r="D81" s="28"/>
      <c r="E81" s="28"/>
      <c r="F81" s="28"/>
      <c r="G81" s="29" t="s">
        <v>35</v>
      </c>
      <c r="H81" s="29" t="s">
        <v>174</v>
      </c>
      <c r="I81" s="30">
        <f t="shared" si="2"/>
        <v>200000</v>
      </c>
      <c r="J81" s="31">
        <f t="shared" si="2"/>
        <v>200000</v>
      </c>
      <c r="K81" s="31"/>
      <c r="L81" s="31"/>
      <c r="M81" s="31"/>
      <c r="N81" s="32">
        <f t="shared" si="1"/>
        <v>0</v>
      </c>
      <c r="O81" s="32"/>
    </row>
    <row r="82" spans="1:15" s="1" customFormat="1" ht="24" customHeight="1">
      <c r="A82" s="28" t="s">
        <v>175</v>
      </c>
      <c r="B82" s="28"/>
      <c r="C82" s="28"/>
      <c r="D82" s="28"/>
      <c r="E82" s="28"/>
      <c r="F82" s="28"/>
      <c r="G82" s="29" t="s">
        <v>35</v>
      </c>
      <c r="H82" s="29" t="s">
        <v>176</v>
      </c>
      <c r="I82" s="30">
        <f t="shared" si="2"/>
        <v>200000</v>
      </c>
      <c r="J82" s="31">
        <f t="shared" si="2"/>
        <v>200000</v>
      </c>
      <c r="K82" s="31"/>
      <c r="L82" s="31"/>
      <c r="M82" s="31"/>
      <c r="N82" s="32">
        <f t="shared" si="1"/>
        <v>0</v>
      </c>
      <c r="O82" s="32"/>
    </row>
    <row r="83" spans="1:15" s="1" customFormat="1" ht="13.5" customHeight="1">
      <c r="A83" s="28" t="s">
        <v>177</v>
      </c>
      <c r="B83" s="28"/>
      <c r="C83" s="28"/>
      <c r="D83" s="28"/>
      <c r="E83" s="28"/>
      <c r="F83" s="28"/>
      <c r="G83" s="29" t="s">
        <v>35</v>
      </c>
      <c r="H83" s="29" t="s">
        <v>178</v>
      </c>
      <c r="I83" s="30">
        <f aca="true" t="shared" si="3" ref="I83:J85">50000</f>
        <v>50000</v>
      </c>
      <c r="J83" s="31">
        <f t="shared" si="3"/>
        <v>50000</v>
      </c>
      <c r="K83" s="31"/>
      <c r="L83" s="31"/>
      <c r="M83" s="31"/>
      <c r="N83" s="32">
        <f t="shared" si="1"/>
        <v>0</v>
      </c>
      <c r="O83" s="32"/>
    </row>
    <row r="84" spans="1:15" s="1" customFormat="1" ht="13.5" customHeight="1">
      <c r="A84" s="28" t="s">
        <v>179</v>
      </c>
      <c r="B84" s="28"/>
      <c r="C84" s="28"/>
      <c r="D84" s="28"/>
      <c r="E84" s="28"/>
      <c r="F84" s="28"/>
      <c r="G84" s="29" t="s">
        <v>35</v>
      </c>
      <c r="H84" s="29" t="s">
        <v>180</v>
      </c>
      <c r="I84" s="30">
        <f t="shared" si="3"/>
        <v>50000</v>
      </c>
      <c r="J84" s="31">
        <f t="shared" si="3"/>
        <v>50000</v>
      </c>
      <c r="K84" s="31"/>
      <c r="L84" s="31"/>
      <c r="M84" s="31"/>
      <c r="N84" s="32">
        <f t="shared" si="1"/>
        <v>0</v>
      </c>
      <c r="O84" s="32"/>
    </row>
    <row r="85" spans="1:15" s="1" customFormat="1" ht="24" customHeight="1">
      <c r="A85" s="28" t="s">
        <v>181</v>
      </c>
      <c r="B85" s="28"/>
      <c r="C85" s="28"/>
      <c r="D85" s="28"/>
      <c r="E85" s="28"/>
      <c r="F85" s="28"/>
      <c r="G85" s="29" t="s">
        <v>35</v>
      </c>
      <c r="H85" s="29" t="s">
        <v>182</v>
      </c>
      <c r="I85" s="30">
        <f t="shared" si="3"/>
        <v>50000</v>
      </c>
      <c r="J85" s="31">
        <f t="shared" si="3"/>
        <v>50000</v>
      </c>
      <c r="K85" s="31"/>
      <c r="L85" s="31"/>
      <c r="M85" s="31"/>
      <c r="N85" s="32">
        <f t="shared" si="1"/>
        <v>0</v>
      </c>
      <c r="O85" s="32"/>
    </row>
    <row r="86" spans="1:15" s="1" customFormat="1" ht="45" customHeight="1">
      <c r="A86" s="28" t="s">
        <v>183</v>
      </c>
      <c r="B86" s="28"/>
      <c r="C86" s="28"/>
      <c r="D86" s="28"/>
      <c r="E86" s="28"/>
      <c r="F86" s="28"/>
      <c r="G86" s="29" t="s">
        <v>35</v>
      </c>
      <c r="H86" s="29" t="s">
        <v>184</v>
      </c>
      <c r="I86" s="30">
        <f>49500</f>
        <v>49500</v>
      </c>
      <c r="J86" s="31">
        <f>49574.25</f>
        <v>49574.25</v>
      </c>
      <c r="K86" s="31"/>
      <c r="L86" s="31"/>
      <c r="M86" s="31"/>
      <c r="N86" s="32">
        <f>-74.25</f>
        <v>-74.25</v>
      </c>
      <c r="O86" s="32"/>
    </row>
    <row r="87" spans="1:15" s="1" customFormat="1" ht="45" customHeight="1">
      <c r="A87" s="28" t="s">
        <v>185</v>
      </c>
      <c r="B87" s="28"/>
      <c r="C87" s="28"/>
      <c r="D87" s="28"/>
      <c r="E87" s="28"/>
      <c r="F87" s="28"/>
      <c r="G87" s="29" t="s">
        <v>35</v>
      </c>
      <c r="H87" s="29" t="s">
        <v>186</v>
      </c>
      <c r="I87" s="30">
        <f>49500</f>
        <v>49500</v>
      </c>
      <c r="J87" s="31">
        <f>49574.25</f>
        <v>49574.25</v>
      </c>
      <c r="K87" s="31"/>
      <c r="L87" s="31"/>
      <c r="M87" s="31"/>
      <c r="N87" s="32">
        <f>-74.25</f>
        <v>-74.25</v>
      </c>
      <c r="O87" s="32"/>
    </row>
    <row r="88" spans="1:15" s="1" customFormat="1" ht="33.75" customHeight="1">
      <c r="A88" s="28" t="s">
        <v>187</v>
      </c>
      <c r="B88" s="28"/>
      <c r="C88" s="28"/>
      <c r="D88" s="28"/>
      <c r="E88" s="28"/>
      <c r="F88" s="28"/>
      <c r="G88" s="29" t="s">
        <v>35</v>
      </c>
      <c r="H88" s="29" t="s">
        <v>188</v>
      </c>
      <c r="I88" s="30">
        <f>49500</f>
        <v>49500</v>
      </c>
      <c r="J88" s="31">
        <f>49574.25</f>
        <v>49574.25</v>
      </c>
      <c r="K88" s="31"/>
      <c r="L88" s="31"/>
      <c r="M88" s="31"/>
      <c r="N88" s="32">
        <f>-74.25</f>
        <v>-74.25</v>
      </c>
      <c r="O88" s="32"/>
    </row>
    <row r="89" spans="1:15" s="1" customFormat="1" ht="33.75" customHeight="1">
      <c r="A89" s="28" t="s">
        <v>189</v>
      </c>
      <c r="B89" s="28"/>
      <c r="C89" s="28"/>
      <c r="D89" s="28"/>
      <c r="E89" s="28"/>
      <c r="F89" s="28"/>
      <c r="G89" s="29" t="s">
        <v>35</v>
      </c>
      <c r="H89" s="29" t="s">
        <v>190</v>
      </c>
      <c r="I89" s="30">
        <f>49500</f>
        <v>49500</v>
      </c>
      <c r="J89" s="31">
        <f>49574.25</f>
        <v>49574.25</v>
      </c>
      <c r="K89" s="31"/>
      <c r="L89" s="31"/>
      <c r="M89" s="31"/>
      <c r="N89" s="32">
        <f>-74.25</f>
        <v>-74.25</v>
      </c>
      <c r="O89" s="32"/>
    </row>
    <row r="90" spans="1:15" s="1" customFormat="1" ht="24" customHeight="1">
      <c r="A90" s="28" t="s">
        <v>191</v>
      </c>
      <c r="B90" s="28"/>
      <c r="C90" s="28"/>
      <c r="D90" s="28"/>
      <c r="E90" s="28"/>
      <c r="F90" s="28"/>
      <c r="G90" s="29" t="s">
        <v>35</v>
      </c>
      <c r="H90" s="29" t="s">
        <v>192</v>
      </c>
      <c r="I90" s="30">
        <f>-199362.18</f>
        <v>-199362.18</v>
      </c>
      <c r="J90" s="31">
        <f>-199362.18</f>
        <v>-199362.18</v>
      </c>
      <c r="K90" s="31"/>
      <c r="L90" s="31"/>
      <c r="M90" s="31"/>
      <c r="N90" s="32">
        <f>0</f>
        <v>0</v>
      </c>
      <c r="O90" s="32"/>
    </row>
    <row r="91" spans="1:15" s="1" customFormat="1" ht="24" customHeight="1">
      <c r="A91" s="28" t="s">
        <v>193</v>
      </c>
      <c r="B91" s="28"/>
      <c r="C91" s="28"/>
      <c r="D91" s="28"/>
      <c r="E91" s="28"/>
      <c r="F91" s="28"/>
      <c r="G91" s="29" t="s">
        <v>35</v>
      </c>
      <c r="H91" s="29" t="s">
        <v>194</v>
      </c>
      <c r="I91" s="30">
        <f>-199362.18</f>
        <v>-199362.18</v>
      </c>
      <c r="J91" s="31">
        <f>-199362.18</f>
        <v>-199362.18</v>
      </c>
      <c r="K91" s="31"/>
      <c r="L91" s="31"/>
      <c r="M91" s="31"/>
      <c r="N91" s="32">
        <f>0</f>
        <v>0</v>
      </c>
      <c r="O91" s="32"/>
    </row>
    <row r="92" spans="1:15" s="1" customFormat="1" ht="13.5" customHeight="1">
      <c r="A92" s="34" t="s">
        <v>10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15" s="1" customFormat="1" ht="13.5" customHeight="1">
      <c r="A93" s="12" t="s">
        <v>195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s="1" customFormat="1" ht="34.5" customHeight="1">
      <c r="A94" s="13" t="s">
        <v>22</v>
      </c>
      <c r="B94" s="13"/>
      <c r="C94" s="13"/>
      <c r="D94" s="13"/>
      <c r="E94" s="13"/>
      <c r="F94" s="13"/>
      <c r="G94" s="14" t="s">
        <v>23</v>
      </c>
      <c r="H94" s="14" t="s">
        <v>196</v>
      </c>
      <c r="I94" s="15" t="s">
        <v>25</v>
      </c>
      <c r="J94" s="16" t="s">
        <v>26</v>
      </c>
      <c r="K94" s="16"/>
      <c r="L94" s="16"/>
      <c r="M94" s="16"/>
      <c r="N94" s="17" t="s">
        <v>27</v>
      </c>
      <c r="O94" s="17"/>
    </row>
    <row r="95" spans="1:15" s="1" customFormat="1" ht="13.5" customHeight="1">
      <c r="A95" s="18" t="s">
        <v>28</v>
      </c>
      <c r="B95" s="18"/>
      <c r="C95" s="18"/>
      <c r="D95" s="18"/>
      <c r="E95" s="18"/>
      <c r="F95" s="18"/>
      <c r="G95" s="19" t="s">
        <v>29</v>
      </c>
      <c r="H95" s="19" t="s">
        <v>30</v>
      </c>
      <c r="I95" s="20" t="s">
        <v>31</v>
      </c>
      <c r="J95" s="21" t="s">
        <v>32</v>
      </c>
      <c r="K95" s="21"/>
      <c r="L95" s="21"/>
      <c r="M95" s="21"/>
      <c r="N95" s="22" t="s">
        <v>33</v>
      </c>
      <c r="O95" s="22"/>
    </row>
    <row r="96" spans="1:15" s="1" customFormat="1" ht="13.5" customHeight="1">
      <c r="A96" s="23" t="s">
        <v>197</v>
      </c>
      <c r="B96" s="23"/>
      <c r="C96" s="23"/>
      <c r="D96" s="23"/>
      <c r="E96" s="23"/>
      <c r="F96" s="23"/>
      <c r="G96" s="24" t="s">
        <v>198</v>
      </c>
      <c r="H96" s="24" t="s">
        <v>36</v>
      </c>
      <c r="I96" s="25">
        <f>495874386.35</f>
        <v>495874386.35</v>
      </c>
      <c r="J96" s="26">
        <f>259108094</f>
        <v>259108094</v>
      </c>
      <c r="K96" s="26"/>
      <c r="L96" s="26"/>
      <c r="M96" s="26"/>
      <c r="N96" s="27">
        <f>236766292.35</f>
        <v>236766292.35</v>
      </c>
      <c r="O96" s="27"/>
    </row>
    <row r="97" spans="1:15" s="1" customFormat="1" ht="24" customHeight="1">
      <c r="A97" s="35" t="s">
        <v>199</v>
      </c>
      <c r="B97" s="35"/>
      <c r="C97" s="35"/>
      <c r="D97" s="35"/>
      <c r="E97" s="35"/>
      <c r="F97" s="35"/>
      <c r="G97" s="36" t="s">
        <v>198</v>
      </c>
      <c r="H97" s="36" t="s">
        <v>200</v>
      </c>
      <c r="I97" s="37">
        <f>1213022</f>
        <v>1213022</v>
      </c>
      <c r="J97" s="38">
        <f>741257.71</f>
        <v>741257.71</v>
      </c>
      <c r="K97" s="38"/>
      <c r="L97" s="38"/>
      <c r="M97" s="38"/>
      <c r="N97" s="39">
        <f>471764.29</f>
        <v>471764.29</v>
      </c>
      <c r="O97" s="39"/>
    </row>
    <row r="98" spans="1:15" s="1" customFormat="1" ht="13.5" customHeight="1">
      <c r="A98" s="35" t="s">
        <v>201</v>
      </c>
      <c r="B98" s="35"/>
      <c r="C98" s="35"/>
      <c r="D98" s="35"/>
      <c r="E98" s="35"/>
      <c r="F98" s="35"/>
      <c r="G98" s="36" t="s">
        <v>198</v>
      </c>
      <c r="H98" s="36" t="s">
        <v>202</v>
      </c>
      <c r="I98" s="37">
        <f>1213022</f>
        <v>1213022</v>
      </c>
      <c r="J98" s="38">
        <f>741257.71</f>
        <v>741257.71</v>
      </c>
      <c r="K98" s="38"/>
      <c r="L98" s="38"/>
      <c r="M98" s="38"/>
      <c r="N98" s="39">
        <f>471764.29</f>
        <v>471764.29</v>
      </c>
      <c r="O98" s="39"/>
    </row>
    <row r="99" spans="1:15" s="1" customFormat="1" ht="13.5" customHeight="1">
      <c r="A99" s="35" t="s">
        <v>203</v>
      </c>
      <c r="B99" s="35"/>
      <c r="C99" s="35"/>
      <c r="D99" s="35"/>
      <c r="E99" s="35"/>
      <c r="F99" s="35"/>
      <c r="G99" s="36" t="s">
        <v>198</v>
      </c>
      <c r="H99" s="36" t="s">
        <v>204</v>
      </c>
      <c r="I99" s="37">
        <f>931660.5</f>
        <v>931660.5</v>
      </c>
      <c r="J99" s="38">
        <f>575640.89</f>
        <v>575640.89</v>
      </c>
      <c r="K99" s="38"/>
      <c r="L99" s="38"/>
      <c r="M99" s="38"/>
      <c r="N99" s="39">
        <f>356019.61</f>
        <v>356019.61</v>
      </c>
      <c r="O99" s="39"/>
    </row>
    <row r="100" spans="1:15" s="1" customFormat="1" ht="13.5" customHeight="1">
      <c r="A100" s="35" t="s">
        <v>205</v>
      </c>
      <c r="B100" s="35"/>
      <c r="C100" s="35"/>
      <c r="D100" s="35"/>
      <c r="E100" s="35"/>
      <c r="F100" s="35"/>
      <c r="G100" s="36" t="s">
        <v>198</v>
      </c>
      <c r="H100" s="36" t="s">
        <v>206</v>
      </c>
      <c r="I100" s="37">
        <f>281361.5</f>
        <v>281361.5</v>
      </c>
      <c r="J100" s="38">
        <f>165616.82</f>
        <v>165616.82</v>
      </c>
      <c r="K100" s="38"/>
      <c r="L100" s="38"/>
      <c r="M100" s="38"/>
      <c r="N100" s="39">
        <f>115744.68</f>
        <v>115744.68</v>
      </c>
      <c r="O100" s="39"/>
    </row>
    <row r="101" spans="1:15" s="1" customFormat="1" ht="33.75" customHeight="1">
      <c r="A101" s="35" t="s">
        <v>207</v>
      </c>
      <c r="B101" s="35"/>
      <c r="C101" s="35"/>
      <c r="D101" s="35"/>
      <c r="E101" s="35"/>
      <c r="F101" s="35"/>
      <c r="G101" s="36" t="s">
        <v>198</v>
      </c>
      <c r="H101" s="36" t="s">
        <v>208</v>
      </c>
      <c r="I101" s="37">
        <f>50000</f>
        <v>50000</v>
      </c>
      <c r="J101" s="40" t="s">
        <v>63</v>
      </c>
      <c r="K101" s="40"/>
      <c r="L101" s="40"/>
      <c r="M101" s="40"/>
      <c r="N101" s="39">
        <f>50000</f>
        <v>50000</v>
      </c>
      <c r="O101" s="39"/>
    </row>
    <row r="102" spans="1:15" s="1" customFormat="1" ht="13.5" customHeight="1">
      <c r="A102" s="35" t="s">
        <v>209</v>
      </c>
      <c r="B102" s="35"/>
      <c r="C102" s="35"/>
      <c r="D102" s="35"/>
      <c r="E102" s="35"/>
      <c r="F102" s="35"/>
      <c r="G102" s="36" t="s">
        <v>198</v>
      </c>
      <c r="H102" s="36" t="s">
        <v>210</v>
      </c>
      <c r="I102" s="37">
        <f>50000</f>
        <v>50000</v>
      </c>
      <c r="J102" s="40" t="s">
        <v>63</v>
      </c>
      <c r="K102" s="40"/>
      <c r="L102" s="40"/>
      <c r="M102" s="40"/>
      <c r="N102" s="39">
        <f>50000</f>
        <v>50000</v>
      </c>
      <c r="O102" s="39"/>
    </row>
    <row r="103" spans="1:15" s="1" customFormat="1" ht="13.5" customHeight="1">
      <c r="A103" s="35" t="s">
        <v>211</v>
      </c>
      <c r="B103" s="35"/>
      <c r="C103" s="35"/>
      <c r="D103" s="35"/>
      <c r="E103" s="35"/>
      <c r="F103" s="35"/>
      <c r="G103" s="36" t="s">
        <v>198</v>
      </c>
      <c r="H103" s="36" t="s">
        <v>212</v>
      </c>
      <c r="I103" s="37">
        <f>25000</f>
        <v>25000</v>
      </c>
      <c r="J103" s="40" t="s">
        <v>63</v>
      </c>
      <c r="K103" s="40"/>
      <c r="L103" s="40"/>
      <c r="M103" s="40"/>
      <c r="N103" s="39">
        <f>25000</f>
        <v>25000</v>
      </c>
      <c r="O103" s="39"/>
    </row>
    <row r="104" spans="1:15" s="1" customFormat="1" ht="13.5" customHeight="1">
      <c r="A104" s="35" t="s">
        <v>213</v>
      </c>
      <c r="B104" s="35"/>
      <c r="C104" s="35"/>
      <c r="D104" s="35"/>
      <c r="E104" s="35"/>
      <c r="F104" s="35"/>
      <c r="G104" s="36" t="s">
        <v>198</v>
      </c>
      <c r="H104" s="36" t="s">
        <v>214</v>
      </c>
      <c r="I104" s="37">
        <f>25000</f>
        <v>25000</v>
      </c>
      <c r="J104" s="40" t="s">
        <v>63</v>
      </c>
      <c r="K104" s="40"/>
      <c r="L104" s="40"/>
      <c r="M104" s="40"/>
      <c r="N104" s="39">
        <f>25000</f>
        <v>25000</v>
      </c>
      <c r="O104" s="39"/>
    </row>
    <row r="105" spans="1:15" s="1" customFormat="1" ht="33.75" customHeight="1">
      <c r="A105" s="35" t="s">
        <v>215</v>
      </c>
      <c r="B105" s="35"/>
      <c r="C105" s="35"/>
      <c r="D105" s="35"/>
      <c r="E105" s="35"/>
      <c r="F105" s="35"/>
      <c r="G105" s="36" t="s">
        <v>198</v>
      </c>
      <c r="H105" s="36" t="s">
        <v>216</v>
      </c>
      <c r="I105" s="37">
        <f>17749938</f>
        <v>17749938</v>
      </c>
      <c r="J105" s="38">
        <f>12606536.55</f>
        <v>12606536.55</v>
      </c>
      <c r="K105" s="38"/>
      <c r="L105" s="38"/>
      <c r="M105" s="38"/>
      <c r="N105" s="39">
        <f>5143401.45</f>
        <v>5143401.45</v>
      </c>
      <c r="O105" s="39"/>
    </row>
    <row r="106" spans="1:15" s="1" customFormat="1" ht="13.5" customHeight="1">
      <c r="A106" s="35" t="s">
        <v>201</v>
      </c>
      <c r="B106" s="35"/>
      <c r="C106" s="35"/>
      <c r="D106" s="35"/>
      <c r="E106" s="35"/>
      <c r="F106" s="35"/>
      <c r="G106" s="36" t="s">
        <v>198</v>
      </c>
      <c r="H106" s="36" t="s">
        <v>217</v>
      </c>
      <c r="I106" s="37">
        <f>17282134</f>
        <v>17282134</v>
      </c>
      <c r="J106" s="38">
        <f>12360150.15</f>
        <v>12360150.15</v>
      </c>
      <c r="K106" s="38"/>
      <c r="L106" s="38"/>
      <c r="M106" s="38"/>
      <c r="N106" s="39">
        <f>4921983.85</f>
        <v>4921983.85</v>
      </c>
      <c r="O106" s="39"/>
    </row>
    <row r="107" spans="1:15" s="1" customFormat="1" ht="13.5" customHeight="1">
      <c r="A107" s="35" t="s">
        <v>203</v>
      </c>
      <c r="B107" s="35"/>
      <c r="C107" s="35"/>
      <c r="D107" s="35"/>
      <c r="E107" s="35"/>
      <c r="F107" s="35"/>
      <c r="G107" s="36" t="s">
        <v>198</v>
      </c>
      <c r="H107" s="36" t="s">
        <v>218</v>
      </c>
      <c r="I107" s="37">
        <f>12097219</f>
        <v>12097219</v>
      </c>
      <c r="J107" s="38">
        <f>8732166.64</f>
        <v>8732166.64</v>
      </c>
      <c r="K107" s="38"/>
      <c r="L107" s="38"/>
      <c r="M107" s="38"/>
      <c r="N107" s="39">
        <f>3365052.36</f>
        <v>3365052.36</v>
      </c>
      <c r="O107" s="39"/>
    </row>
    <row r="108" spans="1:15" s="1" customFormat="1" ht="13.5" customHeight="1">
      <c r="A108" s="35" t="s">
        <v>219</v>
      </c>
      <c r="B108" s="35"/>
      <c r="C108" s="35"/>
      <c r="D108" s="35"/>
      <c r="E108" s="35"/>
      <c r="F108" s="35"/>
      <c r="G108" s="36" t="s">
        <v>198</v>
      </c>
      <c r="H108" s="36" t="s">
        <v>220</v>
      </c>
      <c r="I108" s="37">
        <f>3000</f>
        <v>3000</v>
      </c>
      <c r="J108" s="38">
        <f>2181.88</f>
        <v>2181.88</v>
      </c>
      <c r="K108" s="38"/>
      <c r="L108" s="38"/>
      <c r="M108" s="38"/>
      <c r="N108" s="39">
        <f>818.12</f>
        <v>818.12</v>
      </c>
      <c r="O108" s="39"/>
    </row>
    <row r="109" spans="1:15" s="1" customFormat="1" ht="13.5" customHeight="1">
      <c r="A109" s="35" t="s">
        <v>205</v>
      </c>
      <c r="B109" s="35"/>
      <c r="C109" s="35"/>
      <c r="D109" s="35"/>
      <c r="E109" s="35"/>
      <c r="F109" s="35"/>
      <c r="G109" s="36" t="s">
        <v>198</v>
      </c>
      <c r="H109" s="36" t="s">
        <v>221</v>
      </c>
      <c r="I109" s="37">
        <f>3550680</f>
        <v>3550680</v>
      </c>
      <c r="J109" s="38">
        <f>2592684.11</f>
        <v>2592684.11</v>
      </c>
      <c r="K109" s="38"/>
      <c r="L109" s="38"/>
      <c r="M109" s="38"/>
      <c r="N109" s="39">
        <f>957995.89</f>
        <v>957995.89</v>
      </c>
      <c r="O109" s="39"/>
    </row>
    <row r="110" spans="1:15" s="1" customFormat="1" ht="13.5" customHeight="1">
      <c r="A110" s="35" t="s">
        <v>222</v>
      </c>
      <c r="B110" s="35"/>
      <c r="C110" s="35"/>
      <c r="D110" s="35"/>
      <c r="E110" s="35"/>
      <c r="F110" s="35"/>
      <c r="G110" s="36" t="s">
        <v>198</v>
      </c>
      <c r="H110" s="36" t="s">
        <v>223</v>
      </c>
      <c r="I110" s="37">
        <f>457675</f>
        <v>457675</v>
      </c>
      <c r="J110" s="38">
        <f>408155.47</f>
        <v>408155.47</v>
      </c>
      <c r="K110" s="38"/>
      <c r="L110" s="38"/>
      <c r="M110" s="38"/>
      <c r="N110" s="39">
        <f>49519.53</f>
        <v>49519.53</v>
      </c>
      <c r="O110" s="39"/>
    </row>
    <row r="111" spans="1:15" s="1" customFormat="1" ht="13.5" customHeight="1">
      <c r="A111" s="35" t="s">
        <v>224</v>
      </c>
      <c r="B111" s="35"/>
      <c r="C111" s="35"/>
      <c r="D111" s="35"/>
      <c r="E111" s="35"/>
      <c r="F111" s="35"/>
      <c r="G111" s="36" t="s">
        <v>198</v>
      </c>
      <c r="H111" s="36" t="s">
        <v>225</v>
      </c>
      <c r="I111" s="37">
        <f>18000</f>
        <v>18000</v>
      </c>
      <c r="J111" s="40" t="s">
        <v>63</v>
      </c>
      <c r="K111" s="40"/>
      <c r="L111" s="40"/>
      <c r="M111" s="40"/>
      <c r="N111" s="39">
        <f>18000</f>
        <v>18000</v>
      </c>
      <c r="O111" s="39"/>
    </row>
    <row r="112" spans="1:15" s="1" customFormat="1" ht="13.5" customHeight="1">
      <c r="A112" s="35" t="s">
        <v>226</v>
      </c>
      <c r="B112" s="35"/>
      <c r="C112" s="35"/>
      <c r="D112" s="35"/>
      <c r="E112" s="35"/>
      <c r="F112" s="35"/>
      <c r="G112" s="36" t="s">
        <v>198</v>
      </c>
      <c r="H112" s="36" t="s">
        <v>227</v>
      </c>
      <c r="I112" s="37">
        <f>165000</f>
        <v>165000</v>
      </c>
      <c r="J112" s="38">
        <f>59689.51</f>
        <v>59689.51</v>
      </c>
      <c r="K112" s="38"/>
      <c r="L112" s="38"/>
      <c r="M112" s="38"/>
      <c r="N112" s="39">
        <f>105310.49</f>
        <v>105310.49</v>
      </c>
      <c r="O112" s="39"/>
    </row>
    <row r="113" spans="1:15" s="1" customFormat="1" ht="13.5" customHeight="1">
      <c r="A113" s="35" t="s">
        <v>228</v>
      </c>
      <c r="B113" s="35"/>
      <c r="C113" s="35"/>
      <c r="D113" s="35"/>
      <c r="E113" s="35"/>
      <c r="F113" s="35"/>
      <c r="G113" s="36" t="s">
        <v>198</v>
      </c>
      <c r="H113" s="36" t="s">
        <v>229</v>
      </c>
      <c r="I113" s="37">
        <f>7560</f>
        <v>7560</v>
      </c>
      <c r="J113" s="40" t="s">
        <v>63</v>
      </c>
      <c r="K113" s="40"/>
      <c r="L113" s="40"/>
      <c r="M113" s="40"/>
      <c r="N113" s="39">
        <f>7560</f>
        <v>7560</v>
      </c>
      <c r="O113" s="39"/>
    </row>
    <row r="114" spans="1:15" s="1" customFormat="1" ht="13.5" customHeight="1">
      <c r="A114" s="35" t="s">
        <v>230</v>
      </c>
      <c r="B114" s="35"/>
      <c r="C114" s="35"/>
      <c r="D114" s="35"/>
      <c r="E114" s="35"/>
      <c r="F114" s="35"/>
      <c r="G114" s="36" t="s">
        <v>198</v>
      </c>
      <c r="H114" s="36" t="s">
        <v>231</v>
      </c>
      <c r="I114" s="37">
        <f>153000</f>
        <v>153000</v>
      </c>
      <c r="J114" s="38">
        <f>41079.26</f>
        <v>41079.26</v>
      </c>
      <c r="K114" s="38"/>
      <c r="L114" s="38"/>
      <c r="M114" s="38"/>
      <c r="N114" s="39">
        <f>111920.74</f>
        <v>111920.74</v>
      </c>
      <c r="O114" s="39"/>
    </row>
    <row r="115" spans="1:15" s="1" customFormat="1" ht="13.5" customHeight="1">
      <c r="A115" s="35" t="s">
        <v>232</v>
      </c>
      <c r="B115" s="35"/>
      <c r="C115" s="35"/>
      <c r="D115" s="35"/>
      <c r="E115" s="35"/>
      <c r="F115" s="35"/>
      <c r="G115" s="36" t="s">
        <v>198</v>
      </c>
      <c r="H115" s="36" t="s">
        <v>233</v>
      </c>
      <c r="I115" s="37">
        <f>600000</f>
        <v>600000</v>
      </c>
      <c r="J115" s="38">
        <f>348477.04</f>
        <v>348477.04</v>
      </c>
      <c r="K115" s="38"/>
      <c r="L115" s="38"/>
      <c r="M115" s="38"/>
      <c r="N115" s="39">
        <f>251522.96</f>
        <v>251522.96</v>
      </c>
      <c r="O115" s="39"/>
    </row>
    <row r="116" spans="1:15" s="1" customFormat="1" ht="13.5" customHeight="1">
      <c r="A116" s="35" t="s">
        <v>234</v>
      </c>
      <c r="B116" s="35"/>
      <c r="C116" s="35"/>
      <c r="D116" s="35"/>
      <c r="E116" s="35"/>
      <c r="F116" s="35"/>
      <c r="G116" s="36" t="s">
        <v>198</v>
      </c>
      <c r="H116" s="36" t="s">
        <v>235</v>
      </c>
      <c r="I116" s="37">
        <f>68000</f>
        <v>68000</v>
      </c>
      <c r="J116" s="38">
        <f>64252.5</f>
        <v>64252.5</v>
      </c>
      <c r="K116" s="38"/>
      <c r="L116" s="38"/>
      <c r="M116" s="38"/>
      <c r="N116" s="39">
        <f>3747.5</f>
        <v>3747.5</v>
      </c>
      <c r="O116" s="39"/>
    </row>
    <row r="117" spans="1:15" s="1" customFormat="1" ht="13.5" customHeight="1">
      <c r="A117" s="35" t="s">
        <v>234</v>
      </c>
      <c r="B117" s="35"/>
      <c r="C117" s="35"/>
      <c r="D117" s="35"/>
      <c r="E117" s="35"/>
      <c r="F117" s="35"/>
      <c r="G117" s="36" t="s">
        <v>198</v>
      </c>
      <c r="H117" s="36" t="s">
        <v>236</v>
      </c>
      <c r="I117" s="37">
        <f>88000</f>
        <v>88000</v>
      </c>
      <c r="J117" s="38">
        <f>86165.91</f>
        <v>86165.91</v>
      </c>
      <c r="K117" s="38"/>
      <c r="L117" s="38"/>
      <c r="M117" s="38"/>
      <c r="N117" s="39">
        <f>1834.09</f>
        <v>1834.09</v>
      </c>
      <c r="O117" s="39"/>
    </row>
    <row r="118" spans="1:15" s="1" customFormat="1" ht="13.5" customHeight="1">
      <c r="A118" s="35" t="s">
        <v>234</v>
      </c>
      <c r="B118" s="35"/>
      <c r="C118" s="35"/>
      <c r="D118" s="35"/>
      <c r="E118" s="35"/>
      <c r="F118" s="35"/>
      <c r="G118" s="36" t="s">
        <v>198</v>
      </c>
      <c r="H118" s="36" t="s">
        <v>237</v>
      </c>
      <c r="I118" s="37">
        <f>74000</f>
        <v>74000</v>
      </c>
      <c r="J118" s="38">
        <f>25297.83</f>
        <v>25297.83</v>
      </c>
      <c r="K118" s="38"/>
      <c r="L118" s="38"/>
      <c r="M118" s="38"/>
      <c r="N118" s="39">
        <f>48702.17</f>
        <v>48702.17</v>
      </c>
      <c r="O118" s="39"/>
    </row>
    <row r="119" spans="1:15" s="1" customFormat="1" ht="13.5" customHeight="1">
      <c r="A119" s="35" t="s">
        <v>209</v>
      </c>
      <c r="B119" s="35"/>
      <c r="C119" s="35"/>
      <c r="D119" s="35"/>
      <c r="E119" s="35"/>
      <c r="F119" s="35"/>
      <c r="G119" s="36" t="s">
        <v>198</v>
      </c>
      <c r="H119" s="36" t="s">
        <v>238</v>
      </c>
      <c r="I119" s="37">
        <f>467804</f>
        <v>467804</v>
      </c>
      <c r="J119" s="38">
        <f>246386.4</f>
        <v>246386.4</v>
      </c>
      <c r="K119" s="38"/>
      <c r="L119" s="38"/>
      <c r="M119" s="38"/>
      <c r="N119" s="39">
        <f>221417.6</f>
        <v>221417.6</v>
      </c>
      <c r="O119" s="39"/>
    </row>
    <row r="120" spans="1:15" s="1" customFormat="1" ht="13.5" customHeight="1">
      <c r="A120" s="35" t="s">
        <v>211</v>
      </c>
      <c r="B120" s="35"/>
      <c r="C120" s="35"/>
      <c r="D120" s="35"/>
      <c r="E120" s="35"/>
      <c r="F120" s="35"/>
      <c r="G120" s="36" t="s">
        <v>198</v>
      </c>
      <c r="H120" s="36" t="s">
        <v>239</v>
      </c>
      <c r="I120" s="37">
        <f>679</f>
        <v>679</v>
      </c>
      <c r="J120" s="40" t="s">
        <v>63</v>
      </c>
      <c r="K120" s="40"/>
      <c r="L120" s="40"/>
      <c r="M120" s="40"/>
      <c r="N120" s="39">
        <f>679</f>
        <v>679</v>
      </c>
      <c r="O120" s="39"/>
    </row>
    <row r="121" spans="1:15" s="1" customFormat="1" ht="13.5" customHeight="1">
      <c r="A121" s="35" t="s">
        <v>213</v>
      </c>
      <c r="B121" s="35"/>
      <c r="C121" s="35"/>
      <c r="D121" s="35"/>
      <c r="E121" s="35"/>
      <c r="F121" s="35"/>
      <c r="G121" s="36" t="s">
        <v>198</v>
      </c>
      <c r="H121" s="36" t="s">
        <v>240</v>
      </c>
      <c r="I121" s="37">
        <f>467125</f>
        <v>467125</v>
      </c>
      <c r="J121" s="38">
        <f>246386.4</f>
        <v>246386.4</v>
      </c>
      <c r="K121" s="38"/>
      <c r="L121" s="38"/>
      <c r="M121" s="38"/>
      <c r="N121" s="39">
        <f>220738.6</f>
        <v>220738.6</v>
      </c>
      <c r="O121" s="39"/>
    </row>
    <row r="122" spans="1:15" s="1" customFormat="1" ht="24" customHeight="1">
      <c r="A122" s="35" t="s">
        <v>241</v>
      </c>
      <c r="B122" s="35"/>
      <c r="C122" s="35"/>
      <c r="D122" s="35"/>
      <c r="E122" s="35"/>
      <c r="F122" s="35"/>
      <c r="G122" s="36" t="s">
        <v>198</v>
      </c>
      <c r="H122" s="36" t="s">
        <v>242</v>
      </c>
      <c r="I122" s="37">
        <f aca="true" t="shared" si="4" ref="I122:J124">969365.04</f>
        <v>969365.04</v>
      </c>
      <c r="J122" s="38">
        <f t="shared" si="4"/>
        <v>969365.04</v>
      </c>
      <c r="K122" s="38"/>
      <c r="L122" s="38"/>
      <c r="M122" s="38"/>
      <c r="N122" s="39">
        <f>0</f>
        <v>0</v>
      </c>
      <c r="O122" s="39"/>
    </row>
    <row r="123" spans="1:15" s="1" customFormat="1" ht="13.5" customHeight="1">
      <c r="A123" s="35" t="s">
        <v>201</v>
      </c>
      <c r="B123" s="35"/>
      <c r="C123" s="35"/>
      <c r="D123" s="35"/>
      <c r="E123" s="35"/>
      <c r="F123" s="35"/>
      <c r="G123" s="36" t="s">
        <v>198</v>
      </c>
      <c r="H123" s="36" t="s">
        <v>243</v>
      </c>
      <c r="I123" s="37">
        <f t="shared" si="4"/>
        <v>969365.04</v>
      </c>
      <c r="J123" s="38">
        <f t="shared" si="4"/>
        <v>969365.04</v>
      </c>
      <c r="K123" s="38"/>
      <c r="L123" s="38"/>
      <c r="M123" s="38"/>
      <c r="N123" s="39">
        <f>0</f>
        <v>0</v>
      </c>
      <c r="O123" s="39"/>
    </row>
    <row r="124" spans="1:15" s="1" customFormat="1" ht="13.5" customHeight="1">
      <c r="A124" s="35" t="s">
        <v>244</v>
      </c>
      <c r="B124" s="35"/>
      <c r="C124" s="35"/>
      <c r="D124" s="35"/>
      <c r="E124" s="35"/>
      <c r="F124" s="35"/>
      <c r="G124" s="36" t="s">
        <v>198</v>
      </c>
      <c r="H124" s="36" t="s">
        <v>245</v>
      </c>
      <c r="I124" s="37">
        <f t="shared" si="4"/>
        <v>969365.04</v>
      </c>
      <c r="J124" s="38">
        <f t="shared" si="4"/>
        <v>969365.04</v>
      </c>
      <c r="K124" s="38"/>
      <c r="L124" s="38"/>
      <c r="M124" s="38"/>
      <c r="N124" s="39">
        <f>0</f>
        <v>0</v>
      </c>
      <c r="O124" s="39"/>
    </row>
    <row r="125" spans="1:15" s="1" customFormat="1" ht="13.5" customHeight="1">
      <c r="A125" s="35" t="s">
        <v>246</v>
      </c>
      <c r="B125" s="35"/>
      <c r="C125" s="35"/>
      <c r="D125" s="35"/>
      <c r="E125" s="35"/>
      <c r="F125" s="35"/>
      <c r="G125" s="36" t="s">
        <v>198</v>
      </c>
      <c r="H125" s="36" t="s">
        <v>247</v>
      </c>
      <c r="I125" s="37">
        <f>101810</f>
        <v>101810</v>
      </c>
      <c r="J125" s="40" t="s">
        <v>63</v>
      </c>
      <c r="K125" s="40"/>
      <c r="L125" s="40"/>
      <c r="M125" s="40"/>
      <c r="N125" s="39">
        <f>101810</f>
        <v>101810</v>
      </c>
      <c r="O125" s="39"/>
    </row>
    <row r="126" spans="1:15" s="1" customFormat="1" ht="13.5" customHeight="1">
      <c r="A126" s="35" t="s">
        <v>201</v>
      </c>
      <c r="B126" s="35"/>
      <c r="C126" s="35"/>
      <c r="D126" s="35"/>
      <c r="E126" s="35"/>
      <c r="F126" s="35"/>
      <c r="G126" s="36" t="s">
        <v>198</v>
      </c>
      <c r="H126" s="36" t="s">
        <v>248</v>
      </c>
      <c r="I126" s="37">
        <f>101810</f>
        <v>101810</v>
      </c>
      <c r="J126" s="40" t="s">
        <v>63</v>
      </c>
      <c r="K126" s="40"/>
      <c r="L126" s="40"/>
      <c r="M126" s="40"/>
      <c r="N126" s="39">
        <f>101810</f>
        <v>101810</v>
      </c>
      <c r="O126" s="39"/>
    </row>
    <row r="127" spans="1:15" s="1" customFormat="1" ht="13.5" customHeight="1">
      <c r="A127" s="35" t="s">
        <v>234</v>
      </c>
      <c r="B127" s="35"/>
      <c r="C127" s="35"/>
      <c r="D127" s="35"/>
      <c r="E127" s="35"/>
      <c r="F127" s="35"/>
      <c r="G127" s="36" t="s">
        <v>198</v>
      </c>
      <c r="H127" s="36" t="s">
        <v>249</v>
      </c>
      <c r="I127" s="37">
        <f>101810</f>
        <v>101810</v>
      </c>
      <c r="J127" s="40" t="s">
        <v>63</v>
      </c>
      <c r="K127" s="40"/>
      <c r="L127" s="40"/>
      <c r="M127" s="40"/>
      <c r="N127" s="39">
        <f>101810</f>
        <v>101810</v>
      </c>
      <c r="O127" s="39"/>
    </row>
    <row r="128" spans="1:15" s="1" customFormat="1" ht="13.5" customHeight="1">
      <c r="A128" s="35" t="s">
        <v>250</v>
      </c>
      <c r="B128" s="35"/>
      <c r="C128" s="35"/>
      <c r="D128" s="35"/>
      <c r="E128" s="35"/>
      <c r="F128" s="35"/>
      <c r="G128" s="36" t="s">
        <v>198</v>
      </c>
      <c r="H128" s="36" t="s">
        <v>251</v>
      </c>
      <c r="I128" s="37">
        <f>40301525.43</f>
        <v>40301525.43</v>
      </c>
      <c r="J128" s="38">
        <f>29875360.72</f>
        <v>29875360.72</v>
      </c>
      <c r="K128" s="38"/>
      <c r="L128" s="38"/>
      <c r="M128" s="38"/>
      <c r="N128" s="39">
        <f>10426164.71</f>
        <v>10426164.71</v>
      </c>
      <c r="O128" s="39"/>
    </row>
    <row r="129" spans="1:15" s="1" customFormat="1" ht="13.5" customHeight="1">
      <c r="A129" s="35" t="s">
        <v>201</v>
      </c>
      <c r="B129" s="35"/>
      <c r="C129" s="35"/>
      <c r="D129" s="35"/>
      <c r="E129" s="35"/>
      <c r="F129" s="35"/>
      <c r="G129" s="36" t="s">
        <v>198</v>
      </c>
      <c r="H129" s="36" t="s">
        <v>252</v>
      </c>
      <c r="I129" s="37">
        <f>33680341.43</f>
        <v>33680341.43</v>
      </c>
      <c r="J129" s="38">
        <f>24000864.21</f>
        <v>24000864.21</v>
      </c>
      <c r="K129" s="38"/>
      <c r="L129" s="38"/>
      <c r="M129" s="38"/>
      <c r="N129" s="39">
        <f>9679477.22</f>
        <v>9679477.22</v>
      </c>
      <c r="O129" s="39"/>
    </row>
    <row r="130" spans="1:15" s="1" customFormat="1" ht="13.5" customHeight="1">
      <c r="A130" s="35" t="s">
        <v>203</v>
      </c>
      <c r="B130" s="35"/>
      <c r="C130" s="35"/>
      <c r="D130" s="35"/>
      <c r="E130" s="35"/>
      <c r="F130" s="35"/>
      <c r="G130" s="36" t="s">
        <v>198</v>
      </c>
      <c r="H130" s="36" t="s">
        <v>253</v>
      </c>
      <c r="I130" s="37">
        <f>18951709.77</f>
        <v>18951709.77</v>
      </c>
      <c r="J130" s="38">
        <f>13133458.18</f>
        <v>13133458.18</v>
      </c>
      <c r="K130" s="38"/>
      <c r="L130" s="38"/>
      <c r="M130" s="38"/>
      <c r="N130" s="39">
        <f>5818251.59</f>
        <v>5818251.59</v>
      </c>
      <c r="O130" s="39"/>
    </row>
    <row r="131" spans="1:15" s="1" customFormat="1" ht="13.5" customHeight="1">
      <c r="A131" s="35" t="s">
        <v>219</v>
      </c>
      <c r="B131" s="35"/>
      <c r="C131" s="35"/>
      <c r="D131" s="35"/>
      <c r="E131" s="35"/>
      <c r="F131" s="35"/>
      <c r="G131" s="36" t="s">
        <v>198</v>
      </c>
      <c r="H131" s="36" t="s">
        <v>254</v>
      </c>
      <c r="I131" s="37">
        <f>28900</f>
        <v>28900</v>
      </c>
      <c r="J131" s="38">
        <f>24693.55</f>
        <v>24693.55</v>
      </c>
      <c r="K131" s="38"/>
      <c r="L131" s="38"/>
      <c r="M131" s="38"/>
      <c r="N131" s="39">
        <f>4206.45</f>
        <v>4206.45</v>
      </c>
      <c r="O131" s="39"/>
    </row>
    <row r="132" spans="1:15" s="1" customFormat="1" ht="13.5" customHeight="1">
      <c r="A132" s="35" t="s">
        <v>205</v>
      </c>
      <c r="B132" s="35"/>
      <c r="C132" s="35"/>
      <c r="D132" s="35"/>
      <c r="E132" s="35"/>
      <c r="F132" s="35"/>
      <c r="G132" s="36" t="s">
        <v>198</v>
      </c>
      <c r="H132" s="36" t="s">
        <v>255</v>
      </c>
      <c r="I132" s="37">
        <f>5443875.24</f>
        <v>5443875.24</v>
      </c>
      <c r="J132" s="38">
        <f>3779108.09</f>
        <v>3779108.09</v>
      </c>
      <c r="K132" s="38"/>
      <c r="L132" s="38"/>
      <c r="M132" s="38"/>
      <c r="N132" s="39">
        <f>1664767.15</f>
        <v>1664767.15</v>
      </c>
      <c r="O132" s="39"/>
    </row>
    <row r="133" spans="1:15" s="1" customFormat="1" ht="13.5" customHeight="1">
      <c r="A133" s="35" t="s">
        <v>222</v>
      </c>
      <c r="B133" s="35"/>
      <c r="C133" s="35"/>
      <c r="D133" s="35"/>
      <c r="E133" s="35"/>
      <c r="F133" s="35"/>
      <c r="G133" s="36" t="s">
        <v>198</v>
      </c>
      <c r="H133" s="36" t="s">
        <v>256</v>
      </c>
      <c r="I133" s="37">
        <f>188920</f>
        <v>188920</v>
      </c>
      <c r="J133" s="38">
        <f>90470.64</f>
        <v>90470.64</v>
      </c>
      <c r="K133" s="38"/>
      <c r="L133" s="38"/>
      <c r="M133" s="38"/>
      <c r="N133" s="39">
        <f>98449.36</f>
        <v>98449.36</v>
      </c>
      <c r="O133" s="39"/>
    </row>
    <row r="134" spans="1:15" s="1" customFormat="1" ht="13.5" customHeight="1">
      <c r="A134" s="35" t="s">
        <v>224</v>
      </c>
      <c r="B134" s="35"/>
      <c r="C134" s="35"/>
      <c r="D134" s="35"/>
      <c r="E134" s="35"/>
      <c r="F134" s="35"/>
      <c r="G134" s="36" t="s">
        <v>198</v>
      </c>
      <c r="H134" s="36" t="s">
        <v>257</v>
      </c>
      <c r="I134" s="37">
        <f>44848</f>
        <v>44848</v>
      </c>
      <c r="J134" s="38">
        <f>44848</f>
        <v>44848</v>
      </c>
      <c r="K134" s="38"/>
      <c r="L134" s="38"/>
      <c r="M134" s="38"/>
      <c r="N134" s="39">
        <f>0</f>
        <v>0</v>
      </c>
      <c r="O134" s="39"/>
    </row>
    <row r="135" spans="1:15" s="1" customFormat="1" ht="13.5" customHeight="1">
      <c r="A135" s="35" t="s">
        <v>226</v>
      </c>
      <c r="B135" s="35"/>
      <c r="C135" s="35"/>
      <c r="D135" s="35"/>
      <c r="E135" s="35"/>
      <c r="F135" s="35"/>
      <c r="G135" s="36" t="s">
        <v>198</v>
      </c>
      <c r="H135" s="36" t="s">
        <v>258</v>
      </c>
      <c r="I135" s="37">
        <f>76500</f>
        <v>76500</v>
      </c>
      <c r="J135" s="38">
        <f>63496.65</f>
        <v>63496.65</v>
      </c>
      <c r="K135" s="38"/>
      <c r="L135" s="38"/>
      <c r="M135" s="38"/>
      <c r="N135" s="39">
        <f>13003.35</f>
        <v>13003.35</v>
      </c>
      <c r="O135" s="39"/>
    </row>
    <row r="136" spans="1:15" s="1" customFormat="1" ht="13.5" customHeight="1">
      <c r="A136" s="35" t="s">
        <v>228</v>
      </c>
      <c r="B136" s="35"/>
      <c r="C136" s="35"/>
      <c r="D136" s="35"/>
      <c r="E136" s="35"/>
      <c r="F136" s="35"/>
      <c r="G136" s="36" t="s">
        <v>198</v>
      </c>
      <c r="H136" s="36" t="s">
        <v>259</v>
      </c>
      <c r="I136" s="37">
        <f>2011969</f>
        <v>2011969</v>
      </c>
      <c r="J136" s="38">
        <f>1317398</f>
        <v>1317398</v>
      </c>
      <c r="K136" s="38"/>
      <c r="L136" s="38"/>
      <c r="M136" s="38"/>
      <c r="N136" s="39">
        <f>694571</f>
        <v>694571</v>
      </c>
      <c r="O136" s="39"/>
    </row>
    <row r="137" spans="1:15" s="1" customFormat="1" ht="13.5" customHeight="1">
      <c r="A137" s="35" t="s">
        <v>230</v>
      </c>
      <c r="B137" s="35"/>
      <c r="C137" s="35"/>
      <c r="D137" s="35"/>
      <c r="E137" s="35"/>
      <c r="F137" s="35"/>
      <c r="G137" s="36" t="s">
        <v>198</v>
      </c>
      <c r="H137" s="36" t="s">
        <v>260</v>
      </c>
      <c r="I137" s="37">
        <f>1305579</f>
        <v>1305579</v>
      </c>
      <c r="J137" s="38">
        <f>656103.93</f>
        <v>656103.93</v>
      </c>
      <c r="K137" s="38"/>
      <c r="L137" s="38"/>
      <c r="M137" s="38"/>
      <c r="N137" s="39">
        <f>649475.07</f>
        <v>649475.07</v>
      </c>
      <c r="O137" s="39"/>
    </row>
    <row r="138" spans="1:15" s="1" customFormat="1" ht="13.5" customHeight="1">
      <c r="A138" s="35" t="s">
        <v>232</v>
      </c>
      <c r="B138" s="35"/>
      <c r="C138" s="35"/>
      <c r="D138" s="35"/>
      <c r="E138" s="35"/>
      <c r="F138" s="35"/>
      <c r="G138" s="36" t="s">
        <v>198</v>
      </c>
      <c r="H138" s="36" t="s">
        <v>261</v>
      </c>
      <c r="I138" s="37">
        <f>22500</f>
        <v>22500</v>
      </c>
      <c r="J138" s="38">
        <f>21300</f>
        <v>21300</v>
      </c>
      <c r="K138" s="38"/>
      <c r="L138" s="38"/>
      <c r="M138" s="38"/>
      <c r="N138" s="39">
        <f>1200</f>
        <v>1200</v>
      </c>
      <c r="O138" s="39"/>
    </row>
    <row r="139" spans="1:15" s="1" customFormat="1" ht="13.5" customHeight="1">
      <c r="A139" s="35" t="s">
        <v>232</v>
      </c>
      <c r="B139" s="35"/>
      <c r="C139" s="35"/>
      <c r="D139" s="35"/>
      <c r="E139" s="35"/>
      <c r="F139" s="35"/>
      <c r="G139" s="36" t="s">
        <v>198</v>
      </c>
      <c r="H139" s="36" t="s">
        <v>262</v>
      </c>
      <c r="I139" s="37">
        <f>2777974.96</f>
        <v>2777974.96</v>
      </c>
      <c r="J139" s="38">
        <f>2336254.57</f>
        <v>2336254.57</v>
      </c>
      <c r="K139" s="38"/>
      <c r="L139" s="38"/>
      <c r="M139" s="38"/>
      <c r="N139" s="39">
        <f>441720.39</f>
        <v>441720.39</v>
      </c>
      <c r="O139" s="39"/>
    </row>
    <row r="140" spans="1:15" s="1" customFormat="1" ht="13.5" customHeight="1">
      <c r="A140" s="35" t="s">
        <v>234</v>
      </c>
      <c r="B140" s="35"/>
      <c r="C140" s="35"/>
      <c r="D140" s="35"/>
      <c r="E140" s="35"/>
      <c r="F140" s="35"/>
      <c r="G140" s="36" t="s">
        <v>198</v>
      </c>
      <c r="H140" s="36" t="s">
        <v>263</v>
      </c>
      <c r="I140" s="37">
        <f>882000</f>
        <v>882000</v>
      </c>
      <c r="J140" s="38">
        <f>613200</f>
        <v>613200</v>
      </c>
      <c r="K140" s="38"/>
      <c r="L140" s="38"/>
      <c r="M140" s="38"/>
      <c r="N140" s="39">
        <f>268800</f>
        <v>268800</v>
      </c>
      <c r="O140" s="39"/>
    </row>
    <row r="141" spans="1:15" s="1" customFormat="1" ht="13.5" customHeight="1">
      <c r="A141" s="35" t="s">
        <v>234</v>
      </c>
      <c r="B141" s="35"/>
      <c r="C141" s="35"/>
      <c r="D141" s="35"/>
      <c r="E141" s="35"/>
      <c r="F141" s="35"/>
      <c r="G141" s="36" t="s">
        <v>198</v>
      </c>
      <c r="H141" s="36" t="s">
        <v>264</v>
      </c>
      <c r="I141" s="37">
        <f>1834936.46</f>
        <v>1834936.46</v>
      </c>
      <c r="J141" s="38">
        <f>1834936.46</f>
        <v>1834936.46</v>
      </c>
      <c r="K141" s="38"/>
      <c r="L141" s="38"/>
      <c r="M141" s="38"/>
      <c r="N141" s="39">
        <f>0</f>
        <v>0</v>
      </c>
      <c r="O141" s="39"/>
    </row>
    <row r="142" spans="1:15" s="1" customFormat="1" ht="13.5" customHeight="1">
      <c r="A142" s="35" t="s">
        <v>234</v>
      </c>
      <c r="B142" s="35"/>
      <c r="C142" s="35"/>
      <c r="D142" s="35"/>
      <c r="E142" s="35"/>
      <c r="F142" s="35"/>
      <c r="G142" s="36" t="s">
        <v>198</v>
      </c>
      <c r="H142" s="36" t="s">
        <v>265</v>
      </c>
      <c r="I142" s="37">
        <f>65546</f>
        <v>65546</v>
      </c>
      <c r="J142" s="38">
        <f>47466.6</f>
        <v>47466.6</v>
      </c>
      <c r="K142" s="38"/>
      <c r="L142" s="38"/>
      <c r="M142" s="38"/>
      <c r="N142" s="39">
        <f>18079.4</f>
        <v>18079.4</v>
      </c>
      <c r="O142" s="39"/>
    </row>
    <row r="143" spans="1:15" s="1" customFormat="1" ht="13.5" customHeight="1">
      <c r="A143" s="35" t="s">
        <v>234</v>
      </c>
      <c r="B143" s="35"/>
      <c r="C143" s="35"/>
      <c r="D143" s="35"/>
      <c r="E143" s="35"/>
      <c r="F143" s="35"/>
      <c r="G143" s="36" t="s">
        <v>198</v>
      </c>
      <c r="H143" s="36" t="s">
        <v>266</v>
      </c>
      <c r="I143" s="37">
        <f>45083</f>
        <v>45083</v>
      </c>
      <c r="J143" s="38">
        <f>38129.54</f>
        <v>38129.54</v>
      </c>
      <c r="K143" s="38"/>
      <c r="L143" s="38"/>
      <c r="M143" s="38"/>
      <c r="N143" s="39">
        <f>6953.46</f>
        <v>6953.46</v>
      </c>
      <c r="O143" s="39"/>
    </row>
    <row r="144" spans="1:15" s="1" customFormat="1" ht="13.5" customHeight="1">
      <c r="A144" s="35" t="s">
        <v>209</v>
      </c>
      <c r="B144" s="35"/>
      <c r="C144" s="35"/>
      <c r="D144" s="35"/>
      <c r="E144" s="35"/>
      <c r="F144" s="35"/>
      <c r="G144" s="36" t="s">
        <v>198</v>
      </c>
      <c r="H144" s="36" t="s">
        <v>267</v>
      </c>
      <c r="I144" s="37">
        <f>6621184</f>
        <v>6621184</v>
      </c>
      <c r="J144" s="38">
        <f>5874496.51</f>
        <v>5874496.51</v>
      </c>
      <c r="K144" s="38"/>
      <c r="L144" s="38"/>
      <c r="M144" s="38"/>
      <c r="N144" s="39">
        <f>746687.49</f>
        <v>746687.49</v>
      </c>
      <c r="O144" s="39"/>
    </row>
    <row r="145" spans="1:15" s="1" customFormat="1" ht="13.5" customHeight="1">
      <c r="A145" s="35" t="s">
        <v>211</v>
      </c>
      <c r="B145" s="35"/>
      <c r="C145" s="35"/>
      <c r="D145" s="35"/>
      <c r="E145" s="35"/>
      <c r="F145" s="35"/>
      <c r="G145" s="36" t="s">
        <v>198</v>
      </c>
      <c r="H145" s="36" t="s">
        <v>268</v>
      </c>
      <c r="I145" s="37">
        <f>3361125</f>
        <v>3361125</v>
      </c>
      <c r="J145" s="38">
        <f>3098680.65</f>
        <v>3098680.65</v>
      </c>
      <c r="K145" s="38"/>
      <c r="L145" s="38"/>
      <c r="M145" s="38"/>
      <c r="N145" s="39">
        <f>262444.35</f>
        <v>262444.35</v>
      </c>
      <c r="O145" s="39"/>
    </row>
    <row r="146" spans="1:15" s="1" customFormat="1" ht="13.5" customHeight="1">
      <c r="A146" s="35" t="s">
        <v>213</v>
      </c>
      <c r="B146" s="35"/>
      <c r="C146" s="35"/>
      <c r="D146" s="35"/>
      <c r="E146" s="35"/>
      <c r="F146" s="35"/>
      <c r="G146" s="36" t="s">
        <v>198</v>
      </c>
      <c r="H146" s="36" t="s">
        <v>269</v>
      </c>
      <c r="I146" s="37">
        <f>3260059</f>
        <v>3260059</v>
      </c>
      <c r="J146" s="38">
        <f>2775815.86</f>
        <v>2775815.86</v>
      </c>
      <c r="K146" s="38"/>
      <c r="L146" s="38"/>
      <c r="M146" s="38"/>
      <c r="N146" s="39">
        <f>484243.14</f>
        <v>484243.14</v>
      </c>
      <c r="O146" s="39"/>
    </row>
    <row r="147" spans="1:15" s="1" customFormat="1" ht="24" customHeight="1">
      <c r="A147" s="35" t="s">
        <v>270</v>
      </c>
      <c r="B147" s="35"/>
      <c r="C147" s="35"/>
      <c r="D147" s="35"/>
      <c r="E147" s="35"/>
      <c r="F147" s="35"/>
      <c r="G147" s="36" t="s">
        <v>198</v>
      </c>
      <c r="H147" s="36" t="s">
        <v>271</v>
      </c>
      <c r="I147" s="37">
        <f>5915000</f>
        <v>5915000</v>
      </c>
      <c r="J147" s="38">
        <f>4369997</f>
        <v>4369997</v>
      </c>
      <c r="K147" s="38"/>
      <c r="L147" s="38"/>
      <c r="M147" s="38"/>
      <c r="N147" s="39">
        <f>1545003</f>
        <v>1545003</v>
      </c>
      <c r="O147" s="39"/>
    </row>
    <row r="148" spans="1:15" s="1" customFormat="1" ht="13.5" customHeight="1">
      <c r="A148" s="35" t="s">
        <v>201</v>
      </c>
      <c r="B148" s="35"/>
      <c r="C148" s="35"/>
      <c r="D148" s="35"/>
      <c r="E148" s="35"/>
      <c r="F148" s="35"/>
      <c r="G148" s="36" t="s">
        <v>198</v>
      </c>
      <c r="H148" s="36" t="s">
        <v>272</v>
      </c>
      <c r="I148" s="37">
        <f>5855000</f>
        <v>5855000</v>
      </c>
      <c r="J148" s="38">
        <f>4369997</f>
        <v>4369997</v>
      </c>
      <c r="K148" s="38"/>
      <c r="L148" s="38"/>
      <c r="M148" s="38"/>
      <c r="N148" s="39">
        <f>1485003</f>
        <v>1485003</v>
      </c>
      <c r="O148" s="39"/>
    </row>
    <row r="149" spans="1:15" s="1" customFormat="1" ht="13.5" customHeight="1">
      <c r="A149" s="35" t="s">
        <v>232</v>
      </c>
      <c r="B149" s="35"/>
      <c r="C149" s="35"/>
      <c r="D149" s="35"/>
      <c r="E149" s="35"/>
      <c r="F149" s="35"/>
      <c r="G149" s="36" t="s">
        <v>198</v>
      </c>
      <c r="H149" s="36" t="s">
        <v>273</v>
      </c>
      <c r="I149" s="37">
        <f>55000</f>
        <v>55000</v>
      </c>
      <c r="J149" s="38">
        <f>20000</f>
        <v>20000</v>
      </c>
      <c r="K149" s="38"/>
      <c r="L149" s="38"/>
      <c r="M149" s="38"/>
      <c r="N149" s="39">
        <f>35000</f>
        <v>35000</v>
      </c>
      <c r="O149" s="39"/>
    </row>
    <row r="150" spans="1:15" s="1" customFormat="1" ht="13.5" customHeight="1">
      <c r="A150" s="35" t="s">
        <v>244</v>
      </c>
      <c r="B150" s="35"/>
      <c r="C150" s="35"/>
      <c r="D150" s="35"/>
      <c r="E150" s="35"/>
      <c r="F150" s="35"/>
      <c r="G150" s="36" t="s">
        <v>198</v>
      </c>
      <c r="H150" s="36" t="s">
        <v>274</v>
      </c>
      <c r="I150" s="37">
        <f>5800000</f>
        <v>5800000</v>
      </c>
      <c r="J150" s="38">
        <f>4349997</f>
        <v>4349997</v>
      </c>
      <c r="K150" s="38"/>
      <c r="L150" s="38"/>
      <c r="M150" s="38"/>
      <c r="N150" s="39">
        <f>1450003</f>
        <v>1450003</v>
      </c>
      <c r="O150" s="39"/>
    </row>
    <row r="151" spans="1:15" s="1" customFormat="1" ht="13.5" customHeight="1">
      <c r="A151" s="35" t="s">
        <v>209</v>
      </c>
      <c r="B151" s="35"/>
      <c r="C151" s="35"/>
      <c r="D151" s="35"/>
      <c r="E151" s="35"/>
      <c r="F151" s="35"/>
      <c r="G151" s="36" t="s">
        <v>198</v>
      </c>
      <c r="H151" s="36" t="s">
        <v>275</v>
      </c>
      <c r="I151" s="37">
        <f>60000</f>
        <v>60000</v>
      </c>
      <c r="J151" s="40" t="s">
        <v>63</v>
      </c>
      <c r="K151" s="40"/>
      <c r="L151" s="40"/>
      <c r="M151" s="40"/>
      <c r="N151" s="39">
        <f>60000</f>
        <v>60000</v>
      </c>
      <c r="O151" s="39"/>
    </row>
    <row r="152" spans="1:15" s="1" customFormat="1" ht="13.5" customHeight="1">
      <c r="A152" s="35" t="s">
        <v>211</v>
      </c>
      <c r="B152" s="35"/>
      <c r="C152" s="35"/>
      <c r="D152" s="35"/>
      <c r="E152" s="35"/>
      <c r="F152" s="35"/>
      <c r="G152" s="36" t="s">
        <v>198</v>
      </c>
      <c r="H152" s="36" t="s">
        <v>276</v>
      </c>
      <c r="I152" s="37">
        <f>60000</f>
        <v>60000</v>
      </c>
      <c r="J152" s="40" t="s">
        <v>63</v>
      </c>
      <c r="K152" s="40"/>
      <c r="L152" s="40"/>
      <c r="M152" s="40"/>
      <c r="N152" s="39">
        <f>60000</f>
        <v>60000</v>
      </c>
      <c r="O152" s="39"/>
    </row>
    <row r="153" spans="1:15" s="1" customFormat="1" ht="24" customHeight="1">
      <c r="A153" s="35" t="s">
        <v>277</v>
      </c>
      <c r="B153" s="35"/>
      <c r="C153" s="35"/>
      <c r="D153" s="35"/>
      <c r="E153" s="35"/>
      <c r="F153" s="35"/>
      <c r="G153" s="36" t="s">
        <v>198</v>
      </c>
      <c r="H153" s="36" t="s">
        <v>278</v>
      </c>
      <c r="I153" s="37">
        <f>658000</f>
        <v>658000</v>
      </c>
      <c r="J153" s="38">
        <f>528789.28</f>
        <v>528789.28</v>
      </c>
      <c r="K153" s="38"/>
      <c r="L153" s="38"/>
      <c r="M153" s="38"/>
      <c r="N153" s="39">
        <f>129210.72</f>
        <v>129210.72</v>
      </c>
      <c r="O153" s="39"/>
    </row>
    <row r="154" spans="1:15" s="1" customFormat="1" ht="13.5" customHeight="1">
      <c r="A154" s="35" t="s">
        <v>201</v>
      </c>
      <c r="B154" s="35"/>
      <c r="C154" s="35"/>
      <c r="D154" s="35"/>
      <c r="E154" s="35"/>
      <c r="F154" s="35"/>
      <c r="G154" s="36" t="s">
        <v>198</v>
      </c>
      <c r="H154" s="36" t="s">
        <v>279</v>
      </c>
      <c r="I154" s="37">
        <f>576000</f>
        <v>576000</v>
      </c>
      <c r="J154" s="38">
        <f>468789.28</f>
        <v>468789.28</v>
      </c>
      <c r="K154" s="38"/>
      <c r="L154" s="38"/>
      <c r="M154" s="38"/>
      <c r="N154" s="39">
        <f>107210.72</f>
        <v>107210.72</v>
      </c>
      <c r="O154" s="39"/>
    </row>
    <row r="155" spans="1:15" s="1" customFormat="1" ht="13.5" customHeight="1">
      <c r="A155" s="35" t="s">
        <v>230</v>
      </c>
      <c r="B155" s="35"/>
      <c r="C155" s="35"/>
      <c r="D155" s="35"/>
      <c r="E155" s="35"/>
      <c r="F155" s="35"/>
      <c r="G155" s="36" t="s">
        <v>198</v>
      </c>
      <c r="H155" s="36" t="s">
        <v>280</v>
      </c>
      <c r="I155" s="37">
        <f>80000</f>
        <v>80000</v>
      </c>
      <c r="J155" s="38">
        <f>80000</f>
        <v>80000</v>
      </c>
      <c r="K155" s="38"/>
      <c r="L155" s="38"/>
      <c r="M155" s="38"/>
      <c r="N155" s="39">
        <f>0</f>
        <v>0</v>
      </c>
      <c r="O155" s="39"/>
    </row>
    <row r="156" spans="1:15" s="1" customFormat="1" ht="13.5" customHeight="1">
      <c r="A156" s="35" t="s">
        <v>232</v>
      </c>
      <c r="B156" s="35"/>
      <c r="C156" s="35"/>
      <c r="D156" s="35"/>
      <c r="E156" s="35"/>
      <c r="F156" s="35"/>
      <c r="G156" s="36" t="s">
        <v>198</v>
      </c>
      <c r="H156" s="36" t="s">
        <v>281</v>
      </c>
      <c r="I156" s="37">
        <f>90000</f>
        <v>90000</v>
      </c>
      <c r="J156" s="38">
        <f>85019.37</f>
        <v>85019.37</v>
      </c>
      <c r="K156" s="38"/>
      <c r="L156" s="38"/>
      <c r="M156" s="38"/>
      <c r="N156" s="39">
        <f>4980.63</f>
        <v>4980.63</v>
      </c>
      <c r="O156" s="39"/>
    </row>
    <row r="157" spans="1:15" s="1" customFormat="1" ht="24" customHeight="1">
      <c r="A157" s="35" t="s">
        <v>282</v>
      </c>
      <c r="B157" s="35"/>
      <c r="C157" s="35"/>
      <c r="D157" s="35"/>
      <c r="E157" s="35"/>
      <c r="F157" s="35"/>
      <c r="G157" s="36" t="s">
        <v>198</v>
      </c>
      <c r="H157" s="36" t="s">
        <v>283</v>
      </c>
      <c r="I157" s="37">
        <f>406000</f>
        <v>406000</v>
      </c>
      <c r="J157" s="38">
        <f>303769.91</f>
        <v>303769.91</v>
      </c>
      <c r="K157" s="38"/>
      <c r="L157" s="38"/>
      <c r="M157" s="38"/>
      <c r="N157" s="39">
        <f>102230.09</f>
        <v>102230.09</v>
      </c>
      <c r="O157" s="39"/>
    </row>
    <row r="158" spans="1:15" s="1" customFormat="1" ht="13.5" customHeight="1">
      <c r="A158" s="35" t="s">
        <v>209</v>
      </c>
      <c r="B158" s="35"/>
      <c r="C158" s="35"/>
      <c r="D158" s="35"/>
      <c r="E158" s="35"/>
      <c r="F158" s="35"/>
      <c r="G158" s="36" t="s">
        <v>198</v>
      </c>
      <c r="H158" s="36" t="s">
        <v>284</v>
      </c>
      <c r="I158" s="37">
        <f>82000</f>
        <v>82000</v>
      </c>
      <c r="J158" s="38">
        <f>60000</f>
        <v>60000</v>
      </c>
      <c r="K158" s="38"/>
      <c r="L158" s="38"/>
      <c r="M158" s="38"/>
      <c r="N158" s="39">
        <f>22000</f>
        <v>22000</v>
      </c>
      <c r="O158" s="39"/>
    </row>
    <row r="159" spans="1:15" s="1" customFormat="1" ht="13.5" customHeight="1">
      <c r="A159" s="35" t="s">
        <v>211</v>
      </c>
      <c r="B159" s="35"/>
      <c r="C159" s="35"/>
      <c r="D159" s="35"/>
      <c r="E159" s="35"/>
      <c r="F159" s="35"/>
      <c r="G159" s="36" t="s">
        <v>198</v>
      </c>
      <c r="H159" s="36" t="s">
        <v>285</v>
      </c>
      <c r="I159" s="37">
        <f>82000</f>
        <v>82000</v>
      </c>
      <c r="J159" s="38">
        <f>60000</f>
        <v>60000</v>
      </c>
      <c r="K159" s="38"/>
      <c r="L159" s="38"/>
      <c r="M159" s="38"/>
      <c r="N159" s="39">
        <f>22000</f>
        <v>22000</v>
      </c>
      <c r="O159" s="39"/>
    </row>
    <row r="160" spans="1:15" s="1" customFormat="1" ht="13.5" customHeight="1">
      <c r="A160" s="35" t="s">
        <v>286</v>
      </c>
      <c r="B160" s="35"/>
      <c r="C160" s="35"/>
      <c r="D160" s="35"/>
      <c r="E160" s="35"/>
      <c r="F160" s="35"/>
      <c r="G160" s="36" t="s">
        <v>198</v>
      </c>
      <c r="H160" s="36" t="s">
        <v>287</v>
      </c>
      <c r="I160" s="37">
        <f aca="true" t="shared" si="5" ref="I160:J162">2000000</f>
        <v>2000000</v>
      </c>
      <c r="J160" s="38">
        <f t="shared" si="5"/>
        <v>2000000</v>
      </c>
      <c r="K160" s="38"/>
      <c r="L160" s="38"/>
      <c r="M160" s="38"/>
      <c r="N160" s="39">
        <f>0</f>
        <v>0</v>
      </c>
      <c r="O160" s="39"/>
    </row>
    <row r="161" spans="1:15" s="1" customFormat="1" ht="13.5" customHeight="1">
      <c r="A161" s="35" t="s">
        <v>201</v>
      </c>
      <c r="B161" s="35"/>
      <c r="C161" s="35"/>
      <c r="D161" s="35"/>
      <c r="E161" s="35"/>
      <c r="F161" s="35"/>
      <c r="G161" s="36" t="s">
        <v>198</v>
      </c>
      <c r="H161" s="36" t="s">
        <v>288</v>
      </c>
      <c r="I161" s="37">
        <f t="shared" si="5"/>
        <v>2000000</v>
      </c>
      <c r="J161" s="38">
        <f t="shared" si="5"/>
        <v>2000000</v>
      </c>
      <c r="K161" s="38"/>
      <c r="L161" s="38"/>
      <c r="M161" s="38"/>
      <c r="N161" s="39">
        <f>0</f>
        <v>0</v>
      </c>
      <c r="O161" s="39"/>
    </row>
    <row r="162" spans="1:15" s="1" customFormat="1" ht="24" customHeight="1">
      <c r="A162" s="35" t="s">
        <v>282</v>
      </c>
      <c r="B162" s="35"/>
      <c r="C162" s="35"/>
      <c r="D162" s="35"/>
      <c r="E162" s="35"/>
      <c r="F162" s="35"/>
      <c r="G162" s="36" t="s">
        <v>198</v>
      </c>
      <c r="H162" s="36" t="s">
        <v>289</v>
      </c>
      <c r="I162" s="37">
        <f t="shared" si="5"/>
        <v>2000000</v>
      </c>
      <c r="J162" s="38">
        <f t="shared" si="5"/>
        <v>2000000</v>
      </c>
      <c r="K162" s="38"/>
      <c r="L162" s="38"/>
      <c r="M162" s="38"/>
      <c r="N162" s="39">
        <f>0</f>
        <v>0</v>
      </c>
      <c r="O162" s="39"/>
    </row>
    <row r="163" spans="1:15" s="1" customFormat="1" ht="13.5" customHeight="1">
      <c r="A163" s="35" t="s">
        <v>290</v>
      </c>
      <c r="B163" s="35"/>
      <c r="C163" s="35"/>
      <c r="D163" s="35"/>
      <c r="E163" s="35"/>
      <c r="F163" s="35"/>
      <c r="G163" s="36" t="s">
        <v>198</v>
      </c>
      <c r="H163" s="36" t="s">
        <v>291</v>
      </c>
      <c r="I163" s="37">
        <f>53055680.41</f>
        <v>53055680.41</v>
      </c>
      <c r="J163" s="38">
        <f>47951022.9</f>
        <v>47951022.9</v>
      </c>
      <c r="K163" s="38"/>
      <c r="L163" s="38"/>
      <c r="M163" s="38"/>
      <c r="N163" s="39">
        <f>5104657.51</f>
        <v>5104657.51</v>
      </c>
      <c r="O163" s="39"/>
    </row>
    <row r="164" spans="1:15" s="1" customFormat="1" ht="13.5" customHeight="1">
      <c r="A164" s="35" t="s">
        <v>201</v>
      </c>
      <c r="B164" s="35"/>
      <c r="C164" s="35"/>
      <c r="D164" s="35"/>
      <c r="E164" s="35"/>
      <c r="F164" s="35"/>
      <c r="G164" s="36" t="s">
        <v>198</v>
      </c>
      <c r="H164" s="36" t="s">
        <v>292</v>
      </c>
      <c r="I164" s="37">
        <f>49939930.41</f>
        <v>49939930.41</v>
      </c>
      <c r="J164" s="38">
        <f>44835272.9</f>
        <v>44835272.9</v>
      </c>
      <c r="K164" s="38"/>
      <c r="L164" s="38"/>
      <c r="M164" s="38"/>
      <c r="N164" s="39">
        <f>5104657.51</f>
        <v>5104657.51</v>
      </c>
      <c r="O164" s="39"/>
    </row>
    <row r="165" spans="1:15" s="1" customFormat="1" ht="13.5" customHeight="1">
      <c r="A165" s="35" t="s">
        <v>230</v>
      </c>
      <c r="B165" s="35"/>
      <c r="C165" s="35"/>
      <c r="D165" s="35"/>
      <c r="E165" s="35"/>
      <c r="F165" s="35"/>
      <c r="G165" s="36" t="s">
        <v>198</v>
      </c>
      <c r="H165" s="36" t="s">
        <v>293</v>
      </c>
      <c r="I165" s="37">
        <f>49820063.41</f>
        <v>49820063.41</v>
      </c>
      <c r="J165" s="38">
        <f>44715405.9</f>
        <v>44715405.9</v>
      </c>
      <c r="K165" s="38"/>
      <c r="L165" s="38"/>
      <c r="M165" s="38"/>
      <c r="N165" s="39">
        <f>5104657.51</f>
        <v>5104657.51</v>
      </c>
      <c r="O165" s="39"/>
    </row>
    <row r="166" spans="1:15" s="1" customFormat="1" ht="13.5" customHeight="1">
      <c r="A166" s="35" t="s">
        <v>232</v>
      </c>
      <c r="B166" s="35"/>
      <c r="C166" s="35"/>
      <c r="D166" s="35"/>
      <c r="E166" s="35"/>
      <c r="F166" s="35"/>
      <c r="G166" s="36" t="s">
        <v>198</v>
      </c>
      <c r="H166" s="36" t="s">
        <v>294</v>
      </c>
      <c r="I166" s="37">
        <f>119867</f>
        <v>119867</v>
      </c>
      <c r="J166" s="38">
        <f>119867</f>
        <v>119867</v>
      </c>
      <c r="K166" s="38"/>
      <c r="L166" s="38"/>
      <c r="M166" s="38"/>
      <c r="N166" s="39">
        <f>0</f>
        <v>0</v>
      </c>
      <c r="O166" s="39"/>
    </row>
    <row r="167" spans="1:15" s="1" customFormat="1" ht="13.5" customHeight="1">
      <c r="A167" s="35" t="s">
        <v>209</v>
      </c>
      <c r="B167" s="35"/>
      <c r="C167" s="35"/>
      <c r="D167" s="35"/>
      <c r="E167" s="35"/>
      <c r="F167" s="35"/>
      <c r="G167" s="36" t="s">
        <v>198</v>
      </c>
      <c r="H167" s="36" t="s">
        <v>295</v>
      </c>
      <c r="I167" s="37">
        <f>3115750</f>
        <v>3115750</v>
      </c>
      <c r="J167" s="38">
        <f>3115750</f>
        <v>3115750</v>
      </c>
      <c r="K167" s="38"/>
      <c r="L167" s="38"/>
      <c r="M167" s="38"/>
      <c r="N167" s="39">
        <f>0</f>
        <v>0</v>
      </c>
      <c r="O167" s="39"/>
    </row>
    <row r="168" spans="1:15" s="1" customFormat="1" ht="13.5" customHeight="1">
      <c r="A168" s="35" t="s">
        <v>213</v>
      </c>
      <c r="B168" s="35"/>
      <c r="C168" s="35"/>
      <c r="D168" s="35"/>
      <c r="E168" s="35"/>
      <c r="F168" s="35"/>
      <c r="G168" s="36" t="s">
        <v>198</v>
      </c>
      <c r="H168" s="36" t="s">
        <v>296</v>
      </c>
      <c r="I168" s="37">
        <f>3115750</f>
        <v>3115750</v>
      </c>
      <c r="J168" s="38">
        <f>3115750</f>
        <v>3115750</v>
      </c>
      <c r="K168" s="38"/>
      <c r="L168" s="38"/>
      <c r="M168" s="38"/>
      <c r="N168" s="39">
        <f>0</f>
        <v>0</v>
      </c>
      <c r="O168" s="39"/>
    </row>
    <row r="169" spans="1:15" s="1" customFormat="1" ht="13.5" customHeight="1">
      <c r="A169" s="35" t="s">
        <v>297</v>
      </c>
      <c r="B169" s="35"/>
      <c r="C169" s="35"/>
      <c r="D169" s="35"/>
      <c r="E169" s="35"/>
      <c r="F169" s="35"/>
      <c r="G169" s="36" t="s">
        <v>198</v>
      </c>
      <c r="H169" s="36" t="s">
        <v>298</v>
      </c>
      <c r="I169" s="37">
        <f>1010007</f>
        <v>1010007</v>
      </c>
      <c r="J169" s="38">
        <f>570991.77</f>
        <v>570991.77</v>
      </c>
      <c r="K169" s="38"/>
      <c r="L169" s="38"/>
      <c r="M169" s="38"/>
      <c r="N169" s="39">
        <f>439015.23</f>
        <v>439015.23</v>
      </c>
      <c r="O169" s="39"/>
    </row>
    <row r="170" spans="1:15" s="1" customFormat="1" ht="13.5" customHeight="1">
      <c r="A170" s="35" t="s">
        <v>201</v>
      </c>
      <c r="B170" s="35"/>
      <c r="C170" s="35"/>
      <c r="D170" s="35"/>
      <c r="E170" s="35"/>
      <c r="F170" s="35"/>
      <c r="G170" s="36" t="s">
        <v>198</v>
      </c>
      <c r="H170" s="36" t="s">
        <v>299</v>
      </c>
      <c r="I170" s="37">
        <f>828807</f>
        <v>828807</v>
      </c>
      <c r="J170" s="38">
        <f>390341.77</f>
        <v>390341.77</v>
      </c>
      <c r="K170" s="38"/>
      <c r="L170" s="38"/>
      <c r="M170" s="38"/>
      <c r="N170" s="39">
        <f>438465.23</f>
        <v>438465.23</v>
      </c>
      <c r="O170" s="39"/>
    </row>
    <row r="171" spans="1:15" s="1" customFormat="1" ht="13.5" customHeight="1">
      <c r="A171" s="35" t="s">
        <v>232</v>
      </c>
      <c r="B171" s="35"/>
      <c r="C171" s="35"/>
      <c r="D171" s="35"/>
      <c r="E171" s="35"/>
      <c r="F171" s="35"/>
      <c r="G171" s="36" t="s">
        <v>198</v>
      </c>
      <c r="H171" s="36" t="s">
        <v>300</v>
      </c>
      <c r="I171" s="37">
        <f>828807</f>
        <v>828807</v>
      </c>
      <c r="J171" s="38">
        <f>390341.77</f>
        <v>390341.77</v>
      </c>
      <c r="K171" s="38"/>
      <c r="L171" s="38"/>
      <c r="M171" s="38"/>
      <c r="N171" s="39">
        <f>438465.23</f>
        <v>438465.23</v>
      </c>
      <c r="O171" s="39"/>
    </row>
    <row r="172" spans="1:15" s="1" customFormat="1" ht="13.5" customHeight="1">
      <c r="A172" s="35" t="s">
        <v>209</v>
      </c>
      <c r="B172" s="35"/>
      <c r="C172" s="35"/>
      <c r="D172" s="35"/>
      <c r="E172" s="35"/>
      <c r="F172" s="35"/>
      <c r="G172" s="36" t="s">
        <v>198</v>
      </c>
      <c r="H172" s="36" t="s">
        <v>301</v>
      </c>
      <c r="I172" s="37">
        <f>181200</f>
        <v>181200</v>
      </c>
      <c r="J172" s="38">
        <f>180650</f>
        <v>180650</v>
      </c>
      <c r="K172" s="38"/>
      <c r="L172" s="38"/>
      <c r="M172" s="38"/>
      <c r="N172" s="39">
        <f>550</f>
        <v>550</v>
      </c>
      <c r="O172" s="39"/>
    </row>
    <row r="173" spans="1:15" s="1" customFormat="1" ht="13.5" customHeight="1">
      <c r="A173" s="35" t="s">
        <v>211</v>
      </c>
      <c r="B173" s="35"/>
      <c r="C173" s="35"/>
      <c r="D173" s="35"/>
      <c r="E173" s="35"/>
      <c r="F173" s="35"/>
      <c r="G173" s="36" t="s">
        <v>198</v>
      </c>
      <c r="H173" s="36" t="s">
        <v>302</v>
      </c>
      <c r="I173" s="37">
        <f>33000</f>
        <v>33000</v>
      </c>
      <c r="J173" s="38">
        <f>33000</f>
        <v>33000</v>
      </c>
      <c r="K173" s="38"/>
      <c r="L173" s="38"/>
      <c r="M173" s="38"/>
      <c r="N173" s="39">
        <f>0</f>
        <v>0</v>
      </c>
      <c r="O173" s="39"/>
    </row>
    <row r="174" spans="1:15" s="1" customFormat="1" ht="13.5" customHeight="1">
      <c r="A174" s="35" t="s">
        <v>213</v>
      </c>
      <c r="B174" s="35"/>
      <c r="C174" s="35"/>
      <c r="D174" s="35"/>
      <c r="E174" s="35"/>
      <c r="F174" s="35"/>
      <c r="G174" s="36" t="s">
        <v>198</v>
      </c>
      <c r="H174" s="36" t="s">
        <v>303</v>
      </c>
      <c r="I174" s="37">
        <f>148200</f>
        <v>148200</v>
      </c>
      <c r="J174" s="38">
        <f>147650</f>
        <v>147650</v>
      </c>
      <c r="K174" s="38"/>
      <c r="L174" s="38"/>
      <c r="M174" s="38"/>
      <c r="N174" s="39">
        <f>550</f>
        <v>550</v>
      </c>
      <c r="O174" s="39"/>
    </row>
    <row r="175" spans="1:15" s="1" customFormat="1" ht="13.5" customHeight="1">
      <c r="A175" s="35" t="s">
        <v>304</v>
      </c>
      <c r="B175" s="35"/>
      <c r="C175" s="35"/>
      <c r="D175" s="35"/>
      <c r="E175" s="35"/>
      <c r="F175" s="35"/>
      <c r="G175" s="36" t="s">
        <v>198</v>
      </c>
      <c r="H175" s="36" t="s">
        <v>305</v>
      </c>
      <c r="I175" s="37">
        <f>1604000</f>
        <v>1604000</v>
      </c>
      <c r="J175" s="38">
        <f>924245.88</f>
        <v>924245.88</v>
      </c>
      <c r="K175" s="38"/>
      <c r="L175" s="38"/>
      <c r="M175" s="38"/>
      <c r="N175" s="39">
        <f>679754.12</f>
        <v>679754.12</v>
      </c>
      <c r="O175" s="39"/>
    </row>
    <row r="176" spans="1:15" s="1" customFormat="1" ht="13.5" customHeight="1">
      <c r="A176" s="35" t="s">
        <v>201</v>
      </c>
      <c r="B176" s="35"/>
      <c r="C176" s="35"/>
      <c r="D176" s="35"/>
      <c r="E176" s="35"/>
      <c r="F176" s="35"/>
      <c r="G176" s="36" t="s">
        <v>198</v>
      </c>
      <c r="H176" s="36" t="s">
        <v>306</v>
      </c>
      <c r="I176" s="37">
        <f>1604000</f>
        <v>1604000</v>
      </c>
      <c r="J176" s="38">
        <f>924245.88</f>
        <v>924245.88</v>
      </c>
      <c r="K176" s="38"/>
      <c r="L176" s="38"/>
      <c r="M176" s="38"/>
      <c r="N176" s="39">
        <f>679754.12</f>
        <v>679754.12</v>
      </c>
      <c r="O176" s="39"/>
    </row>
    <row r="177" spans="1:15" s="1" customFormat="1" ht="13.5" customHeight="1">
      <c r="A177" s="35" t="s">
        <v>232</v>
      </c>
      <c r="B177" s="35"/>
      <c r="C177" s="35"/>
      <c r="D177" s="35"/>
      <c r="E177" s="35"/>
      <c r="F177" s="35"/>
      <c r="G177" s="36" t="s">
        <v>198</v>
      </c>
      <c r="H177" s="36" t="s">
        <v>307</v>
      </c>
      <c r="I177" s="37">
        <f>1580500</f>
        <v>1580500</v>
      </c>
      <c r="J177" s="38">
        <f>900745.88</f>
        <v>900745.88</v>
      </c>
      <c r="K177" s="38"/>
      <c r="L177" s="38"/>
      <c r="M177" s="38"/>
      <c r="N177" s="39">
        <f>679754.12</f>
        <v>679754.12</v>
      </c>
      <c r="O177" s="39"/>
    </row>
    <row r="178" spans="1:15" s="1" customFormat="1" ht="13.5" customHeight="1">
      <c r="A178" s="35" t="s">
        <v>234</v>
      </c>
      <c r="B178" s="35"/>
      <c r="C178" s="35"/>
      <c r="D178" s="35"/>
      <c r="E178" s="35"/>
      <c r="F178" s="35"/>
      <c r="G178" s="36" t="s">
        <v>198</v>
      </c>
      <c r="H178" s="36" t="s">
        <v>308</v>
      </c>
      <c r="I178" s="37">
        <f>23500</f>
        <v>23500</v>
      </c>
      <c r="J178" s="38">
        <f>23500</f>
        <v>23500</v>
      </c>
      <c r="K178" s="38"/>
      <c r="L178" s="38"/>
      <c r="M178" s="38"/>
      <c r="N178" s="39">
        <f>0</f>
        <v>0</v>
      </c>
      <c r="O178" s="39"/>
    </row>
    <row r="179" spans="1:15" s="1" customFormat="1" ht="13.5" customHeight="1">
      <c r="A179" s="35" t="s">
        <v>309</v>
      </c>
      <c r="B179" s="35"/>
      <c r="C179" s="35"/>
      <c r="D179" s="35"/>
      <c r="E179" s="35"/>
      <c r="F179" s="35"/>
      <c r="G179" s="36" t="s">
        <v>198</v>
      </c>
      <c r="H179" s="36" t="s">
        <v>310</v>
      </c>
      <c r="I179" s="37">
        <f>118031829.93</f>
        <v>118031829.93</v>
      </c>
      <c r="J179" s="38">
        <f>50842547.42</f>
        <v>50842547.42</v>
      </c>
      <c r="K179" s="38"/>
      <c r="L179" s="38"/>
      <c r="M179" s="38"/>
      <c r="N179" s="39">
        <f>67189282.51</f>
        <v>67189282.51</v>
      </c>
      <c r="O179" s="39"/>
    </row>
    <row r="180" spans="1:15" s="1" customFormat="1" ht="13.5" customHeight="1">
      <c r="A180" s="35" t="s">
        <v>201</v>
      </c>
      <c r="B180" s="35"/>
      <c r="C180" s="35"/>
      <c r="D180" s="35"/>
      <c r="E180" s="35"/>
      <c r="F180" s="35"/>
      <c r="G180" s="36" t="s">
        <v>198</v>
      </c>
      <c r="H180" s="36" t="s">
        <v>311</v>
      </c>
      <c r="I180" s="37">
        <f>40370374.02</f>
        <v>40370374.02</v>
      </c>
      <c r="J180" s="38">
        <f>15246436.8</f>
        <v>15246436.8</v>
      </c>
      <c r="K180" s="38"/>
      <c r="L180" s="38"/>
      <c r="M180" s="38"/>
      <c r="N180" s="39">
        <f>25123937.22</f>
        <v>25123937.22</v>
      </c>
      <c r="O180" s="39"/>
    </row>
    <row r="181" spans="1:15" s="1" customFormat="1" ht="13.5" customHeight="1">
      <c r="A181" s="35" t="s">
        <v>226</v>
      </c>
      <c r="B181" s="35"/>
      <c r="C181" s="35"/>
      <c r="D181" s="35"/>
      <c r="E181" s="35"/>
      <c r="F181" s="35"/>
      <c r="G181" s="36" t="s">
        <v>198</v>
      </c>
      <c r="H181" s="36" t="s">
        <v>312</v>
      </c>
      <c r="I181" s="37">
        <f>200000</f>
        <v>200000</v>
      </c>
      <c r="J181" s="38">
        <f>63549.54</f>
        <v>63549.54</v>
      </c>
      <c r="K181" s="38"/>
      <c r="L181" s="38"/>
      <c r="M181" s="38"/>
      <c r="N181" s="39">
        <f>136450.46</f>
        <v>136450.46</v>
      </c>
      <c r="O181" s="39"/>
    </row>
    <row r="182" spans="1:15" s="1" customFormat="1" ht="13.5" customHeight="1">
      <c r="A182" s="35" t="s">
        <v>230</v>
      </c>
      <c r="B182" s="35"/>
      <c r="C182" s="35"/>
      <c r="D182" s="35"/>
      <c r="E182" s="35"/>
      <c r="F182" s="35"/>
      <c r="G182" s="36" t="s">
        <v>198</v>
      </c>
      <c r="H182" s="36" t="s">
        <v>313</v>
      </c>
      <c r="I182" s="37">
        <f>32973967.78</f>
        <v>32973967.78</v>
      </c>
      <c r="J182" s="38">
        <f>11911799.22</f>
        <v>11911799.22</v>
      </c>
      <c r="K182" s="38"/>
      <c r="L182" s="38"/>
      <c r="M182" s="38"/>
      <c r="N182" s="39">
        <f>21062168.56</f>
        <v>21062168.56</v>
      </c>
      <c r="O182" s="39"/>
    </row>
    <row r="183" spans="1:15" s="1" customFormat="1" ht="13.5" customHeight="1">
      <c r="A183" s="35" t="s">
        <v>232</v>
      </c>
      <c r="B183" s="35"/>
      <c r="C183" s="35"/>
      <c r="D183" s="35"/>
      <c r="E183" s="35"/>
      <c r="F183" s="35"/>
      <c r="G183" s="36" t="s">
        <v>198</v>
      </c>
      <c r="H183" s="36" t="s">
        <v>314</v>
      </c>
      <c r="I183" s="37">
        <f>4837856.24</f>
        <v>4837856.24</v>
      </c>
      <c r="J183" s="38">
        <f>912543.4</f>
        <v>912543.4</v>
      </c>
      <c r="K183" s="38"/>
      <c r="L183" s="38"/>
      <c r="M183" s="38"/>
      <c r="N183" s="39">
        <f>3925312.84</f>
        <v>3925312.84</v>
      </c>
      <c r="O183" s="39"/>
    </row>
    <row r="184" spans="1:15" s="1" customFormat="1" ht="13.5" customHeight="1">
      <c r="A184" s="35" t="s">
        <v>234</v>
      </c>
      <c r="B184" s="35"/>
      <c r="C184" s="35"/>
      <c r="D184" s="35"/>
      <c r="E184" s="35"/>
      <c r="F184" s="35"/>
      <c r="G184" s="36" t="s">
        <v>198</v>
      </c>
      <c r="H184" s="36" t="s">
        <v>315</v>
      </c>
      <c r="I184" s="37">
        <f>2358550</f>
        <v>2358550</v>
      </c>
      <c r="J184" s="38">
        <f>2358544.64</f>
        <v>2358544.64</v>
      </c>
      <c r="K184" s="38"/>
      <c r="L184" s="38"/>
      <c r="M184" s="38"/>
      <c r="N184" s="39">
        <f>5.36</f>
        <v>5.36</v>
      </c>
      <c r="O184" s="39"/>
    </row>
    <row r="185" spans="1:15" s="1" customFormat="1" ht="13.5" customHeight="1">
      <c r="A185" s="35" t="s">
        <v>209</v>
      </c>
      <c r="B185" s="35"/>
      <c r="C185" s="35"/>
      <c r="D185" s="35"/>
      <c r="E185" s="35"/>
      <c r="F185" s="35"/>
      <c r="G185" s="36" t="s">
        <v>198</v>
      </c>
      <c r="H185" s="36" t="s">
        <v>316</v>
      </c>
      <c r="I185" s="37">
        <f>77661455.91</f>
        <v>77661455.91</v>
      </c>
      <c r="J185" s="38">
        <f>35596110.62</f>
        <v>35596110.62</v>
      </c>
      <c r="K185" s="38"/>
      <c r="L185" s="38"/>
      <c r="M185" s="38"/>
      <c r="N185" s="39">
        <f>42065345.29</f>
        <v>42065345.29</v>
      </c>
      <c r="O185" s="39"/>
    </row>
    <row r="186" spans="1:15" s="1" customFormat="1" ht="13.5" customHeight="1">
      <c r="A186" s="35" t="s">
        <v>211</v>
      </c>
      <c r="B186" s="35"/>
      <c r="C186" s="35"/>
      <c r="D186" s="35"/>
      <c r="E186" s="35"/>
      <c r="F186" s="35"/>
      <c r="G186" s="36" t="s">
        <v>198</v>
      </c>
      <c r="H186" s="36" t="s">
        <v>317</v>
      </c>
      <c r="I186" s="37">
        <f>1000000</f>
        <v>1000000</v>
      </c>
      <c r="J186" s="40" t="s">
        <v>63</v>
      </c>
      <c r="K186" s="40"/>
      <c r="L186" s="40"/>
      <c r="M186" s="40"/>
      <c r="N186" s="39">
        <f>1000000</f>
        <v>1000000</v>
      </c>
      <c r="O186" s="39"/>
    </row>
    <row r="187" spans="1:15" s="1" customFormat="1" ht="13.5" customHeight="1">
      <c r="A187" s="35" t="s">
        <v>211</v>
      </c>
      <c r="B187" s="35"/>
      <c r="C187" s="35"/>
      <c r="D187" s="35"/>
      <c r="E187" s="35"/>
      <c r="F187" s="35"/>
      <c r="G187" s="36" t="s">
        <v>198</v>
      </c>
      <c r="H187" s="36" t="s">
        <v>318</v>
      </c>
      <c r="I187" s="37">
        <f>76072455.91</f>
        <v>76072455.91</v>
      </c>
      <c r="J187" s="38">
        <f>35007110.62</f>
        <v>35007110.62</v>
      </c>
      <c r="K187" s="38"/>
      <c r="L187" s="38"/>
      <c r="M187" s="38"/>
      <c r="N187" s="39">
        <f>41065345.29</f>
        <v>41065345.29</v>
      </c>
      <c r="O187" s="39"/>
    </row>
    <row r="188" spans="1:15" s="1" customFormat="1" ht="13.5" customHeight="1">
      <c r="A188" s="35" t="s">
        <v>213</v>
      </c>
      <c r="B188" s="35"/>
      <c r="C188" s="35"/>
      <c r="D188" s="35"/>
      <c r="E188" s="35"/>
      <c r="F188" s="35"/>
      <c r="G188" s="36" t="s">
        <v>198</v>
      </c>
      <c r="H188" s="36" t="s">
        <v>319</v>
      </c>
      <c r="I188" s="37">
        <f>589000</f>
        <v>589000</v>
      </c>
      <c r="J188" s="38">
        <f>589000</f>
        <v>589000</v>
      </c>
      <c r="K188" s="38"/>
      <c r="L188" s="38"/>
      <c r="M188" s="38"/>
      <c r="N188" s="39">
        <f>0</f>
        <v>0</v>
      </c>
      <c r="O188" s="39"/>
    </row>
    <row r="189" spans="1:15" s="1" customFormat="1" ht="13.5" customHeight="1">
      <c r="A189" s="35" t="s">
        <v>320</v>
      </c>
      <c r="B189" s="35"/>
      <c r="C189" s="35"/>
      <c r="D189" s="35"/>
      <c r="E189" s="35"/>
      <c r="F189" s="35"/>
      <c r="G189" s="36" t="s">
        <v>198</v>
      </c>
      <c r="H189" s="36" t="s">
        <v>321</v>
      </c>
      <c r="I189" s="37">
        <f>50965092.48</f>
        <v>50965092.48</v>
      </c>
      <c r="J189" s="38">
        <f>29320258.14</f>
        <v>29320258.14</v>
      </c>
      <c r="K189" s="38"/>
      <c r="L189" s="38"/>
      <c r="M189" s="38"/>
      <c r="N189" s="39">
        <f>21644834.34</f>
        <v>21644834.34</v>
      </c>
      <c r="O189" s="39"/>
    </row>
    <row r="190" spans="1:15" s="1" customFormat="1" ht="13.5" customHeight="1">
      <c r="A190" s="35" t="s">
        <v>201</v>
      </c>
      <c r="B190" s="35"/>
      <c r="C190" s="35"/>
      <c r="D190" s="35"/>
      <c r="E190" s="35"/>
      <c r="F190" s="35"/>
      <c r="G190" s="36" t="s">
        <v>198</v>
      </c>
      <c r="H190" s="36" t="s">
        <v>322</v>
      </c>
      <c r="I190" s="37">
        <f>46546928.09</f>
        <v>46546928.09</v>
      </c>
      <c r="J190" s="38">
        <f>25762545.57</f>
        <v>25762545.57</v>
      </c>
      <c r="K190" s="38"/>
      <c r="L190" s="38"/>
      <c r="M190" s="38"/>
      <c r="N190" s="39">
        <f>20784382.52</f>
        <v>20784382.52</v>
      </c>
      <c r="O190" s="39"/>
    </row>
    <row r="191" spans="1:15" s="1" customFormat="1" ht="13.5" customHeight="1">
      <c r="A191" s="35" t="s">
        <v>226</v>
      </c>
      <c r="B191" s="35"/>
      <c r="C191" s="35"/>
      <c r="D191" s="35"/>
      <c r="E191" s="35"/>
      <c r="F191" s="35"/>
      <c r="G191" s="36" t="s">
        <v>198</v>
      </c>
      <c r="H191" s="36" t="s">
        <v>323</v>
      </c>
      <c r="I191" s="37">
        <f>7350000</f>
        <v>7350000</v>
      </c>
      <c r="J191" s="38">
        <f>6332059.64</f>
        <v>6332059.64</v>
      </c>
      <c r="K191" s="38"/>
      <c r="L191" s="38"/>
      <c r="M191" s="38"/>
      <c r="N191" s="39">
        <f>1017940.36</f>
        <v>1017940.36</v>
      </c>
      <c r="O191" s="39"/>
    </row>
    <row r="192" spans="1:15" s="1" customFormat="1" ht="13.5" customHeight="1">
      <c r="A192" s="35" t="s">
        <v>230</v>
      </c>
      <c r="B192" s="35"/>
      <c r="C192" s="35"/>
      <c r="D192" s="35"/>
      <c r="E192" s="35"/>
      <c r="F192" s="35"/>
      <c r="G192" s="36" t="s">
        <v>198</v>
      </c>
      <c r="H192" s="36" t="s">
        <v>324</v>
      </c>
      <c r="I192" s="37">
        <f>38695552.87</f>
        <v>38695552.87</v>
      </c>
      <c r="J192" s="38">
        <f>19035567.18</f>
        <v>19035567.18</v>
      </c>
      <c r="K192" s="38"/>
      <c r="L192" s="38"/>
      <c r="M192" s="38"/>
      <c r="N192" s="39">
        <f>19659985.69</f>
        <v>19659985.69</v>
      </c>
      <c r="O192" s="39"/>
    </row>
    <row r="193" spans="1:15" s="1" customFormat="1" ht="13.5" customHeight="1">
      <c r="A193" s="35" t="s">
        <v>232</v>
      </c>
      <c r="B193" s="35"/>
      <c r="C193" s="35"/>
      <c r="D193" s="35"/>
      <c r="E193" s="35"/>
      <c r="F193" s="35"/>
      <c r="G193" s="36" t="s">
        <v>198</v>
      </c>
      <c r="H193" s="36" t="s">
        <v>325</v>
      </c>
      <c r="I193" s="37">
        <f>501375.22</f>
        <v>501375.22</v>
      </c>
      <c r="J193" s="38">
        <f>394918.75</f>
        <v>394918.75</v>
      </c>
      <c r="K193" s="38"/>
      <c r="L193" s="38"/>
      <c r="M193" s="38"/>
      <c r="N193" s="39">
        <f>106456.47</f>
        <v>106456.47</v>
      </c>
      <c r="O193" s="39"/>
    </row>
    <row r="194" spans="1:15" s="1" customFormat="1" ht="13.5" customHeight="1">
      <c r="A194" s="35" t="s">
        <v>209</v>
      </c>
      <c r="B194" s="35"/>
      <c r="C194" s="35"/>
      <c r="D194" s="35"/>
      <c r="E194" s="35"/>
      <c r="F194" s="35"/>
      <c r="G194" s="36" t="s">
        <v>198</v>
      </c>
      <c r="H194" s="36" t="s">
        <v>326</v>
      </c>
      <c r="I194" s="37">
        <f>4418164.39</f>
        <v>4418164.39</v>
      </c>
      <c r="J194" s="38">
        <f>3557712.57</f>
        <v>3557712.57</v>
      </c>
      <c r="K194" s="38"/>
      <c r="L194" s="38"/>
      <c r="M194" s="38"/>
      <c r="N194" s="39">
        <f>860451.82</f>
        <v>860451.82</v>
      </c>
      <c r="O194" s="39"/>
    </row>
    <row r="195" spans="1:15" s="1" customFormat="1" ht="13.5" customHeight="1">
      <c r="A195" s="35" t="s">
        <v>211</v>
      </c>
      <c r="B195" s="35"/>
      <c r="C195" s="35"/>
      <c r="D195" s="35"/>
      <c r="E195" s="35"/>
      <c r="F195" s="35"/>
      <c r="G195" s="36" t="s">
        <v>198</v>
      </c>
      <c r="H195" s="36" t="s">
        <v>327</v>
      </c>
      <c r="I195" s="37">
        <f>4368164.39</f>
        <v>4368164.39</v>
      </c>
      <c r="J195" s="38">
        <f>3517545.54</f>
        <v>3517545.54</v>
      </c>
      <c r="K195" s="38"/>
      <c r="L195" s="38"/>
      <c r="M195" s="38"/>
      <c r="N195" s="39">
        <f>850618.85</f>
        <v>850618.85</v>
      </c>
      <c r="O195" s="39"/>
    </row>
    <row r="196" spans="1:15" s="1" customFormat="1" ht="13.5" customHeight="1">
      <c r="A196" s="35" t="s">
        <v>213</v>
      </c>
      <c r="B196" s="35"/>
      <c r="C196" s="35"/>
      <c r="D196" s="35"/>
      <c r="E196" s="35"/>
      <c r="F196" s="35"/>
      <c r="G196" s="36" t="s">
        <v>198</v>
      </c>
      <c r="H196" s="36" t="s">
        <v>328</v>
      </c>
      <c r="I196" s="37">
        <f>50000</f>
        <v>50000</v>
      </c>
      <c r="J196" s="38">
        <f>40167.03</f>
        <v>40167.03</v>
      </c>
      <c r="K196" s="38"/>
      <c r="L196" s="38"/>
      <c r="M196" s="38"/>
      <c r="N196" s="39">
        <f>9832.97</f>
        <v>9832.97</v>
      </c>
      <c r="O196" s="39"/>
    </row>
    <row r="197" spans="1:15" s="1" customFormat="1" ht="13.5" customHeight="1">
      <c r="A197" s="35" t="s">
        <v>329</v>
      </c>
      <c r="B197" s="35"/>
      <c r="C197" s="35"/>
      <c r="D197" s="35"/>
      <c r="E197" s="35"/>
      <c r="F197" s="35"/>
      <c r="G197" s="36" t="s">
        <v>198</v>
      </c>
      <c r="H197" s="36" t="s">
        <v>330</v>
      </c>
      <c r="I197" s="37">
        <f>170000</f>
        <v>170000</v>
      </c>
      <c r="J197" s="38">
        <f>91900</f>
        <v>91900</v>
      </c>
      <c r="K197" s="38"/>
      <c r="L197" s="38"/>
      <c r="M197" s="38"/>
      <c r="N197" s="39">
        <f>78100</f>
        <v>78100</v>
      </c>
      <c r="O197" s="39"/>
    </row>
    <row r="198" spans="1:15" s="1" customFormat="1" ht="13.5" customHeight="1">
      <c r="A198" s="35" t="s">
        <v>201</v>
      </c>
      <c r="B198" s="35"/>
      <c r="C198" s="35"/>
      <c r="D198" s="35"/>
      <c r="E198" s="35"/>
      <c r="F198" s="35"/>
      <c r="G198" s="36" t="s">
        <v>198</v>
      </c>
      <c r="H198" s="36" t="s">
        <v>331</v>
      </c>
      <c r="I198" s="37">
        <f>141100</f>
        <v>141100</v>
      </c>
      <c r="J198" s="38">
        <f>63000</f>
        <v>63000</v>
      </c>
      <c r="K198" s="38"/>
      <c r="L198" s="38"/>
      <c r="M198" s="38"/>
      <c r="N198" s="39">
        <f>78100</f>
        <v>78100</v>
      </c>
      <c r="O198" s="39"/>
    </row>
    <row r="199" spans="1:15" s="1" customFormat="1" ht="13.5" customHeight="1">
      <c r="A199" s="35" t="s">
        <v>232</v>
      </c>
      <c r="B199" s="35"/>
      <c r="C199" s="35"/>
      <c r="D199" s="35"/>
      <c r="E199" s="35"/>
      <c r="F199" s="35"/>
      <c r="G199" s="36" t="s">
        <v>198</v>
      </c>
      <c r="H199" s="36" t="s">
        <v>332</v>
      </c>
      <c r="I199" s="37">
        <f>78100</f>
        <v>78100</v>
      </c>
      <c r="J199" s="40" t="s">
        <v>63</v>
      </c>
      <c r="K199" s="40"/>
      <c r="L199" s="40"/>
      <c r="M199" s="40"/>
      <c r="N199" s="39">
        <f>78100</f>
        <v>78100</v>
      </c>
      <c r="O199" s="39"/>
    </row>
    <row r="200" spans="1:15" s="1" customFormat="1" ht="13.5" customHeight="1">
      <c r="A200" s="35" t="s">
        <v>234</v>
      </c>
      <c r="B200" s="35"/>
      <c r="C200" s="35"/>
      <c r="D200" s="35"/>
      <c r="E200" s="35"/>
      <c r="F200" s="35"/>
      <c r="G200" s="36" t="s">
        <v>198</v>
      </c>
      <c r="H200" s="36" t="s">
        <v>333</v>
      </c>
      <c r="I200" s="37">
        <f>63000</f>
        <v>63000</v>
      </c>
      <c r="J200" s="38">
        <f>63000</f>
        <v>63000</v>
      </c>
      <c r="K200" s="38"/>
      <c r="L200" s="38"/>
      <c r="M200" s="38"/>
      <c r="N200" s="39">
        <f>0</f>
        <v>0</v>
      </c>
      <c r="O200" s="39"/>
    </row>
    <row r="201" spans="1:15" s="1" customFormat="1" ht="13.5" customHeight="1">
      <c r="A201" s="35" t="s">
        <v>209</v>
      </c>
      <c r="B201" s="35"/>
      <c r="C201" s="35"/>
      <c r="D201" s="35"/>
      <c r="E201" s="35"/>
      <c r="F201" s="35"/>
      <c r="G201" s="36" t="s">
        <v>198</v>
      </c>
      <c r="H201" s="36" t="s">
        <v>334</v>
      </c>
      <c r="I201" s="37">
        <f>28900</f>
        <v>28900</v>
      </c>
      <c r="J201" s="38">
        <f>28900</f>
        <v>28900</v>
      </c>
      <c r="K201" s="38"/>
      <c r="L201" s="38"/>
      <c r="M201" s="38"/>
      <c r="N201" s="39">
        <f>0</f>
        <v>0</v>
      </c>
      <c r="O201" s="39"/>
    </row>
    <row r="202" spans="1:15" s="1" customFormat="1" ht="13.5" customHeight="1">
      <c r="A202" s="35" t="s">
        <v>213</v>
      </c>
      <c r="B202" s="35"/>
      <c r="C202" s="35"/>
      <c r="D202" s="35"/>
      <c r="E202" s="35"/>
      <c r="F202" s="35"/>
      <c r="G202" s="36" t="s">
        <v>198</v>
      </c>
      <c r="H202" s="36" t="s">
        <v>335</v>
      </c>
      <c r="I202" s="37">
        <f>28900</f>
        <v>28900</v>
      </c>
      <c r="J202" s="38">
        <f>28900</f>
        <v>28900</v>
      </c>
      <c r="K202" s="38"/>
      <c r="L202" s="38"/>
      <c r="M202" s="38"/>
      <c r="N202" s="39">
        <f>0</f>
        <v>0</v>
      </c>
      <c r="O202" s="39"/>
    </row>
    <row r="203" spans="1:15" s="1" customFormat="1" ht="13.5" customHeight="1">
      <c r="A203" s="35" t="s">
        <v>336</v>
      </c>
      <c r="B203" s="35"/>
      <c r="C203" s="35"/>
      <c r="D203" s="35"/>
      <c r="E203" s="35"/>
      <c r="F203" s="35"/>
      <c r="G203" s="36" t="s">
        <v>198</v>
      </c>
      <c r="H203" s="36" t="s">
        <v>337</v>
      </c>
      <c r="I203" s="37">
        <f>191824843</f>
        <v>191824843</v>
      </c>
      <c r="J203" s="38">
        <f>72867559.1</f>
        <v>72867559.1</v>
      </c>
      <c r="K203" s="38"/>
      <c r="L203" s="38"/>
      <c r="M203" s="38"/>
      <c r="N203" s="39">
        <f>118957283.9</f>
        <v>118957283.9</v>
      </c>
      <c r="O203" s="39"/>
    </row>
    <row r="204" spans="1:15" s="1" customFormat="1" ht="13.5" customHeight="1">
      <c r="A204" s="35" t="s">
        <v>201</v>
      </c>
      <c r="B204" s="35"/>
      <c r="C204" s="35"/>
      <c r="D204" s="35"/>
      <c r="E204" s="35"/>
      <c r="F204" s="35"/>
      <c r="G204" s="36" t="s">
        <v>198</v>
      </c>
      <c r="H204" s="36" t="s">
        <v>338</v>
      </c>
      <c r="I204" s="37">
        <f>191715343</f>
        <v>191715343</v>
      </c>
      <c r="J204" s="38">
        <f>72758059.1</f>
        <v>72758059.1</v>
      </c>
      <c r="K204" s="38"/>
      <c r="L204" s="38"/>
      <c r="M204" s="38"/>
      <c r="N204" s="39">
        <f>118957283.9</f>
        <v>118957283.9</v>
      </c>
      <c r="O204" s="39"/>
    </row>
    <row r="205" spans="1:15" s="1" customFormat="1" ht="13.5" customHeight="1">
      <c r="A205" s="35" t="s">
        <v>230</v>
      </c>
      <c r="B205" s="35"/>
      <c r="C205" s="35"/>
      <c r="D205" s="35"/>
      <c r="E205" s="35"/>
      <c r="F205" s="35"/>
      <c r="G205" s="36" t="s">
        <v>198</v>
      </c>
      <c r="H205" s="36" t="s">
        <v>339</v>
      </c>
      <c r="I205" s="37">
        <f>459668</f>
        <v>459668</v>
      </c>
      <c r="J205" s="38">
        <f>446374.56</f>
        <v>446374.56</v>
      </c>
      <c r="K205" s="38"/>
      <c r="L205" s="38"/>
      <c r="M205" s="38"/>
      <c r="N205" s="39">
        <f>13293.44</f>
        <v>13293.44</v>
      </c>
      <c r="O205" s="39"/>
    </row>
    <row r="206" spans="1:15" s="1" customFormat="1" ht="13.5" customHeight="1">
      <c r="A206" s="35" t="s">
        <v>232</v>
      </c>
      <c r="B206" s="35"/>
      <c r="C206" s="35"/>
      <c r="D206" s="35"/>
      <c r="E206" s="35"/>
      <c r="F206" s="35"/>
      <c r="G206" s="36" t="s">
        <v>198</v>
      </c>
      <c r="H206" s="36" t="s">
        <v>340</v>
      </c>
      <c r="I206" s="37">
        <f>1963700</f>
        <v>1963700</v>
      </c>
      <c r="J206" s="38">
        <f>1915700</f>
        <v>1915700</v>
      </c>
      <c r="K206" s="38"/>
      <c r="L206" s="38"/>
      <c r="M206" s="38"/>
      <c r="N206" s="39">
        <f>48000</f>
        <v>48000</v>
      </c>
      <c r="O206" s="39"/>
    </row>
    <row r="207" spans="1:15" s="1" customFormat="1" ht="13.5" customHeight="1">
      <c r="A207" s="35" t="s">
        <v>341</v>
      </c>
      <c r="B207" s="35"/>
      <c r="C207" s="35"/>
      <c r="D207" s="35"/>
      <c r="E207" s="35"/>
      <c r="F207" s="35"/>
      <c r="G207" s="36" t="s">
        <v>198</v>
      </c>
      <c r="H207" s="36" t="s">
        <v>342</v>
      </c>
      <c r="I207" s="37">
        <f>43863741</f>
        <v>43863741</v>
      </c>
      <c r="J207" s="38">
        <f>37930373</f>
        <v>37930373</v>
      </c>
      <c r="K207" s="38"/>
      <c r="L207" s="38"/>
      <c r="M207" s="38"/>
      <c r="N207" s="39">
        <f>5933368</f>
        <v>5933368</v>
      </c>
      <c r="O207" s="39"/>
    </row>
    <row r="208" spans="1:15" s="1" customFormat="1" ht="13.5" customHeight="1">
      <c r="A208" s="35" t="s">
        <v>341</v>
      </c>
      <c r="B208" s="35"/>
      <c r="C208" s="35"/>
      <c r="D208" s="35"/>
      <c r="E208" s="35"/>
      <c r="F208" s="35"/>
      <c r="G208" s="36" t="s">
        <v>198</v>
      </c>
      <c r="H208" s="36" t="s">
        <v>343</v>
      </c>
      <c r="I208" s="37">
        <f>144918994</f>
        <v>144918994</v>
      </c>
      <c r="J208" s="38">
        <f>32028811.54</f>
        <v>32028811.54</v>
      </c>
      <c r="K208" s="38"/>
      <c r="L208" s="38"/>
      <c r="M208" s="38"/>
      <c r="N208" s="39">
        <f>112890182.46</f>
        <v>112890182.46</v>
      </c>
      <c r="O208" s="39"/>
    </row>
    <row r="209" spans="1:15" s="1" customFormat="1" ht="13.5" customHeight="1">
      <c r="A209" s="35" t="s">
        <v>234</v>
      </c>
      <c r="B209" s="35"/>
      <c r="C209" s="35"/>
      <c r="D209" s="35"/>
      <c r="E209" s="35"/>
      <c r="F209" s="35"/>
      <c r="G209" s="36" t="s">
        <v>198</v>
      </c>
      <c r="H209" s="36" t="s">
        <v>344</v>
      </c>
      <c r="I209" s="37">
        <f>509240</f>
        <v>509240</v>
      </c>
      <c r="J209" s="38">
        <f>436800</f>
        <v>436800</v>
      </c>
      <c r="K209" s="38"/>
      <c r="L209" s="38"/>
      <c r="M209" s="38"/>
      <c r="N209" s="39">
        <f>72440</f>
        <v>72440</v>
      </c>
      <c r="O209" s="39"/>
    </row>
    <row r="210" spans="1:15" s="1" customFormat="1" ht="13.5" customHeight="1">
      <c r="A210" s="35" t="s">
        <v>209</v>
      </c>
      <c r="B210" s="35"/>
      <c r="C210" s="35"/>
      <c r="D210" s="35"/>
      <c r="E210" s="35"/>
      <c r="F210" s="35"/>
      <c r="G210" s="36" t="s">
        <v>198</v>
      </c>
      <c r="H210" s="36" t="s">
        <v>345</v>
      </c>
      <c r="I210" s="37">
        <f>109500</f>
        <v>109500</v>
      </c>
      <c r="J210" s="38">
        <f>109500</f>
        <v>109500</v>
      </c>
      <c r="K210" s="38"/>
      <c r="L210" s="38"/>
      <c r="M210" s="38"/>
      <c r="N210" s="39">
        <f>0</f>
        <v>0</v>
      </c>
      <c r="O210" s="39"/>
    </row>
    <row r="211" spans="1:15" s="1" customFormat="1" ht="13.5" customHeight="1">
      <c r="A211" s="35" t="s">
        <v>213</v>
      </c>
      <c r="B211" s="35"/>
      <c r="C211" s="35"/>
      <c r="D211" s="35"/>
      <c r="E211" s="35"/>
      <c r="F211" s="35"/>
      <c r="G211" s="36" t="s">
        <v>198</v>
      </c>
      <c r="H211" s="36" t="s">
        <v>346</v>
      </c>
      <c r="I211" s="37">
        <f>109500</f>
        <v>109500</v>
      </c>
      <c r="J211" s="38">
        <f>109500</f>
        <v>109500</v>
      </c>
      <c r="K211" s="38"/>
      <c r="L211" s="38"/>
      <c r="M211" s="38"/>
      <c r="N211" s="39">
        <f>0</f>
        <v>0</v>
      </c>
      <c r="O211" s="39"/>
    </row>
    <row r="212" spans="1:15" s="1" customFormat="1" ht="13.5" customHeight="1">
      <c r="A212" s="35" t="s">
        <v>347</v>
      </c>
      <c r="B212" s="35"/>
      <c r="C212" s="35"/>
      <c r="D212" s="35"/>
      <c r="E212" s="35"/>
      <c r="F212" s="35"/>
      <c r="G212" s="36" t="s">
        <v>198</v>
      </c>
      <c r="H212" s="36" t="s">
        <v>348</v>
      </c>
      <c r="I212" s="37">
        <f aca="true" t="shared" si="6" ref="I212:J214">919491.06</f>
        <v>919491.06</v>
      </c>
      <c r="J212" s="38">
        <f t="shared" si="6"/>
        <v>919491.06</v>
      </c>
      <c r="K212" s="38"/>
      <c r="L212" s="38"/>
      <c r="M212" s="38"/>
      <c r="N212" s="39">
        <f>0</f>
        <v>0</v>
      </c>
      <c r="O212" s="39"/>
    </row>
    <row r="213" spans="1:15" s="1" customFormat="1" ht="13.5" customHeight="1">
      <c r="A213" s="35" t="s">
        <v>201</v>
      </c>
      <c r="B213" s="35"/>
      <c r="C213" s="35"/>
      <c r="D213" s="35"/>
      <c r="E213" s="35"/>
      <c r="F213" s="35"/>
      <c r="G213" s="36" t="s">
        <v>198</v>
      </c>
      <c r="H213" s="36" t="s">
        <v>349</v>
      </c>
      <c r="I213" s="37">
        <f t="shared" si="6"/>
        <v>919491.06</v>
      </c>
      <c r="J213" s="38">
        <f t="shared" si="6"/>
        <v>919491.06</v>
      </c>
      <c r="K213" s="38"/>
      <c r="L213" s="38"/>
      <c r="M213" s="38"/>
      <c r="N213" s="39">
        <f>0</f>
        <v>0</v>
      </c>
      <c r="O213" s="39"/>
    </row>
    <row r="214" spans="1:15" s="1" customFormat="1" ht="13.5" customHeight="1">
      <c r="A214" s="35" t="s">
        <v>341</v>
      </c>
      <c r="B214" s="35"/>
      <c r="C214" s="35"/>
      <c r="D214" s="35"/>
      <c r="E214" s="35"/>
      <c r="F214" s="35"/>
      <c r="G214" s="36" t="s">
        <v>198</v>
      </c>
      <c r="H214" s="36" t="s">
        <v>350</v>
      </c>
      <c r="I214" s="37">
        <f t="shared" si="6"/>
        <v>919491.06</v>
      </c>
      <c r="J214" s="38">
        <f t="shared" si="6"/>
        <v>919491.06</v>
      </c>
      <c r="K214" s="38"/>
      <c r="L214" s="38"/>
      <c r="M214" s="38"/>
      <c r="N214" s="39">
        <f>0</f>
        <v>0</v>
      </c>
      <c r="O214" s="39"/>
    </row>
    <row r="215" spans="1:15" s="1" customFormat="1" ht="13.5" customHeight="1">
      <c r="A215" s="35" t="s">
        <v>351</v>
      </c>
      <c r="B215" s="35"/>
      <c r="C215" s="35"/>
      <c r="D215" s="35"/>
      <c r="E215" s="35"/>
      <c r="F215" s="35"/>
      <c r="G215" s="36" t="s">
        <v>198</v>
      </c>
      <c r="H215" s="36" t="s">
        <v>352</v>
      </c>
      <c r="I215" s="37">
        <f>1028349</f>
        <v>1028349</v>
      </c>
      <c r="J215" s="40" t="s">
        <v>63</v>
      </c>
      <c r="K215" s="40"/>
      <c r="L215" s="40"/>
      <c r="M215" s="40"/>
      <c r="N215" s="39">
        <f>1028349</f>
        <v>1028349</v>
      </c>
      <c r="O215" s="39"/>
    </row>
    <row r="216" spans="1:15" s="1" customFormat="1" ht="13.5" customHeight="1">
      <c r="A216" s="35" t="s">
        <v>201</v>
      </c>
      <c r="B216" s="35"/>
      <c r="C216" s="35"/>
      <c r="D216" s="35"/>
      <c r="E216" s="35"/>
      <c r="F216" s="35"/>
      <c r="G216" s="36" t="s">
        <v>198</v>
      </c>
      <c r="H216" s="36" t="s">
        <v>353</v>
      </c>
      <c r="I216" s="37">
        <f>1028349</f>
        <v>1028349</v>
      </c>
      <c r="J216" s="40" t="s">
        <v>63</v>
      </c>
      <c r="K216" s="40"/>
      <c r="L216" s="40"/>
      <c r="M216" s="40"/>
      <c r="N216" s="39">
        <f>1028349</f>
        <v>1028349</v>
      </c>
      <c r="O216" s="39"/>
    </row>
    <row r="217" spans="1:15" s="1" customFormat="1" ht="13.5" customHeight="1">
      <c r="A217" s="35" t="s">
        <v>354</v>
      </c>
      <c r="B217" s="35"/>
      <c r="C217" s="35"/>
      <c r="D217" s="35"/>
      <c r="E217" s="35"/>
      <c r="F217" s="35"/>
      <c r="G217" s="36" t="s">
        <v>198</v>
      </c>
      <c r="H217" s="36" t="s">
        <v>355</v>
      </c>
      <c r="I217" s="37">
        <f>1028349</f>
        <v>1028349</v>
      </c>
      <c r="J217" s="40" t="s">
        <v>63</v>
      </c>
      <c r="K217" s="40"/>
      <c r="L217" s="40"/>
      <c r="M217" s="40"/>
      <c r="N217" s="39">
        <f>1028349</f>
        <v>1028349</v>
      </c>
      <c r="O217" s="39"/>
    </row>
    <row r="218" spans="1:15" s="1" customFormat="1" ht="13.5" customHeight="1">
      <c r="A218" s="35" t="s">
        <v>356</v>
      </c>
      <c r="B218" s="35"/>
      <c r="C218" s="35"/>
      <c r="D218" s="35"/>
      <c r="E218" s="35"/>
      <c r="F218" s="35"/>
      <c r="G218" s="36" t="s">
        <v>198</v>
      </c>
      <c r="H218" s="36" t="s">
        <v>357</v>
      </c>
      <c r="I218" s="37">
        <f>5339806</f>
        <v>5339806</v>
      </c>
      <c r="J218" s="38">
        <f>2805233.6</f>
        <v>2805233.6</v>
      </c>
      <c r="K218" s="38"/>
      <c r="L218" s="38"/>
      <c r="M218" s="38"/>
      <c r="N218" s="39">
        <f>2534572.4</f>
        <v>2534572.4</v>
      </c>
      <c r="O218" s="39"/>
    </row>
    <row r="219" spans="1:15" s="1" customFormat="1" ht="13.5" customHeight="1">
      <c r="A219" s="35" t="s">
        <v>201</v>
      </c>
      <c r="B219" s="35"/>
      <c r="C219" s="35"/>
      <c r="D219" s="35"/>
      <c r="E219" s="35"/>
      <c r="F219" s="35"/>
      <c r="G219" s="36" t="s">
        <v>198</v>
      </c>
      <c r="H219" s="36" t="s">
        <v>358</v>
      </c>
      <c r="I219" s="37">
        <f>2891500</f>
        <v>2891500</v>
      </c>
      <c r="J219" s="38">
        <f>2796733.6</f>
        <v>2796733.6</v>
      </c>
      <c r="K219" s="38"/>
      <c r="L219" s="38"/>
      <c r="M219" s="38"/>
      <c r="N219" s="39">
        <f>94766.4</f>
        <v>94766.4</v>
      </c>
      <c r="O219" s="39"/>
    </row>
    <row r="220" spans="1:15" s="1" customFormat="1" ht="13.5" customHeight="1">
      <c r="A220" s="35" t="s">
        <v>224</v>
      </c>
      <c r="B220" s="35"/>
      <c r="C220" s="35"/>
      <c r="D220" s="35"/>
      <c r="E220" s="35"/>
      <c r="F220" s="35"/>
      <c r="G220" s="36" t="s">
        <v>198</v>
      </c>
      <c r="H220" s="36" t="s">
        <v>359</v>
      </c>
      <c r="I220" s="37">
        <f>35700</f>
        <v>35700</v>
      </c>
      <c r="J220" s="38">
        <f>35700</f>
        <v>35700</v>
      </c>
      <c r="K220" s="38"/>
      <c r="L220" s="38"/>
      <c r="M220" s="38"/>
      <c r="N220" s="39">
        <f>0</f>
        <v>0</v>
      </c>
      <c r="O220" s="39"/>
    </row>
    <row r="221" spans="1:15" s="1" customFormat="1" ht="13.5" customHeight="1">
      <c r="A221" s="35" t="s">
        <v>232</v>
      </c>
      <c r="B221" s="35"/>
      <c r="C221" s="35"/>
      <c r="D221" s="35"/>
      <c r="E221" s="35"/>
      <c r="F221" s="35"/>
      <c r="G221" s="36" t="s">
        <v>198</v>
      </c>
      <c r="H221" s="36" t="s">
        <v>360</v>
      </c>
      <c r="I221" s="37">
        <f>1466199</f>
        <v>1466199</v>
      </c>
      <c r="J221" s="38">
        <f>1466199</f>
        <v>1466199</v>
      </c>
      <c r="K221" s="38"/>
      <c r="L221" s="38"/>
      <c r="M221" s="38"/>
      <c r="N221" s="39">
        <f>0</f>
        <v>0</v>
      </c>
      <c r="O221" s="39"/>
    </row>
    <row r="222" spans="1:15" s="1" customFormat="1" ht="13.5" customHeight="1">
      <c r="A222" s="35" t="s">
        <v>234</v>
      </c>
      <c r="B222" s="35"/>
      <c r="C222" s="35"/>
      <c r="D222" s="35"/>
      <c r="E222" s="35"/>
      <c r="F222" s="35"/>
      <c r="G222" s="36" t="s">
        <v>198</v>
      </c>
      <c r="H222" s="36" t="s">
        <v>361</v>
      </c>
      <c r="I222" s="37">
        <f>1389601</f>
        <v>1389601</v>
      </c>
      <c r="J222" s="38">
        <f>1294834.6</f>
        <v>1294834.6</v>
      </c>
      <c r="K222" s="38"/>
      <c r="L222" s="38"/>
      <c r="M222" s="38"/>
      <c r="N222" s="39">
        <f>94766.4</f>
        <v>94766.4</v>
      </c>
      <c r="O222" s="39"/>
    </row>
    <row r="223" spans="1:15" s="1" customFormat="1" ht="13.5" customHeight="1">
      <c r="A223" s="35" t="s">
        <v>209</v>
      </c>
      <c r="B223" s="35"/>
      <c r="C223" s="35"/>
      <c r="D223" s="35"/>
      <c r="E223" s="35"/>
      <c r="F223" s="35"/>
      <c r="G223" s="36" t="s">
        <v>198</v>
      </c>
      <c r="H223" s="36" t="s">
        <v>362</v>
      </c>
      <c r="I223" s="37">
        <f>2448306</f>
        <v>2448306</v>
      </c>
      <c r="J223" s="38">
        <f>8500</f>
        <v>8500</v>
      </c>
      <c r="K223" s="38"/>
      <c r="L223" s="38"/>
      <c r="M223" s="38"/>
      <c r="N223" s="39">
        <f>2439806</f>
        <v>2439806</v>
      </c>
      <c r="O223" s="39"/>
    </row>
    <row r="224" spans="1:15" s="1" customFormat="1" ht="13.5" customHeight="1">
      <c r="A224" s="35" t="s">
        <v>211</v>
      </c>
      <c r="B224" s="35"/>
      <c r="C224" s="35"/>
      <c r="D224" s="35"/>
      <c r="E224" s="35"/>
      <c r="F224" s="35"/>
      <c r="G224" s="36" t="s">
        <v>198</v>
      </c>
      <c r="H224" s="36" t="s">
        <v>363</v>
      </c>
      <c r="I224" s="37">
        <f>2439806</f>
        <v>2439806</v>
      </c>
      <c r="J224" s="40" t="s">
        <v>63</v>
      </c>
      <c r="K224" s="40"/>
      <c r="L224" s="40"/>
      <c r="M224" s="40"/>
      <c r="N224" s="39">
        <f>2439806</f>
        <v>2439806</v>
      </c>
      <c r="O224" s="39"/>
    </row>
    <row r="225" spans="1:15" s="1" customFormat="1" ht="13.5" customHeight="1">
      <c r="A225" s="35" t="s">
        <v>213</v>
      </c>
      <c r="B225" s="35"/>
      <c r="C225" s="35"/>
      <c r="D225" s="35"/>
      <c r="E225" s="35"/>
      <c r="F225" s="35"/>
      <c r="G225" s="36" t="s">
        <v>198</v>
      </c>
      <c r="H225" s="36" t="s">
        <v>364</v>
      </c>
      <c r="I225" s="37">
        <f>8500</f>
        <v>8500</v>
      </c>
      <c r="J225" s="38">
        <f>8500</f>
        <v>8500</v>
      </c>
      <c r="K225" s="38"/>
      <c r="L225" s="38"/>
      <c r="M225" s="38"/>
      <c r="N225" s="39">
        <f>0</f>
        <v>0</v>
      </c>
      <c r="O225" s="39"/>
    </row>
    <row r="226" spans="1:15" s="1" customFormat="1" ht="13.5" customHeight="1">
      <c r="A226" s="35" t="s">
        <v>365</v>
      </c>
      <c r="B226" s="35"/>
      <c r="C226" s="35"/>
      <c r="D226" s="35"/>
      <c r="E226" s="35"/>
      <c r="F226" s="35"/>
      <c r="G226" s="36" t="s">
        <v>198</v>
      </c>
      <c r="H226" s="36" t="s">
        <v>366</v>
      </c>
      <c r="I226" s="37">
        <f>2966627</f>
        <v>2966627</v>
      </c>
      <c r="J226" s="38">
        <f>1723537.83</f>
        <v>1723537.83</v>
      </c>
      <c r="K226" s="38"/>
      <c r="L226" s="38"/>
      <c r="M226" s="38"/>
      <c r="N226" s="39">
        <f>1243089.17</f>
        <v>1243089.17</v>
      </c>
      <c r="O226" s="39"/>
    </row>
    <row r="227" spans="1:15" s="1" customFormat="1" ht="13.5" customHeight="1">
      <c r="A227" s="35" t="s">
        <v>201</v>
      </c>
      <c r="B227" s="35"/>
      <c r="C227" s="35"/>
      <c r="D227" s="35"/>
      <c r="E227" s="35"/>
      <c r="F227" s="35"/>
      <c r="G227" s="36" t="s">
        <v>198</v>
      </c>
      <c r="H227" s="36" t="s">
        <v>367</v>
      </c>
      <c r="I227" s="37">
        <f>2966627</f>
        <v>2966627</v>
      </c>
      <c r="J227" s="38">
        <f>1723537.83</f>
        <v>1723537.83</v>
      </c>
      <c r="K227" s="38"/>
      <c r="L227" s="38"/>
      <c r="M227" s="38"/>
      <c r="N227" s="39">
        <f>1243089.17</f>
        <v>1243089.17</v>
      </c>
      <c r="O227" s="39"/>
    </row>
    <row r="228" spans="1:15" s="1" customFormat="1" ht="13.5" customHeight="1">
      <c r="A228" s="35" t="s">
        <v>368</v>
      </c>
      <c r="B228" s="35"/>
      <c r="C228" s="35"/>
      <c r="D228" s="35"/>
      <c r="E228" s="35"/>
      <c r="F228" s="35"/>
      <c r="G228" s="36" t="s">
        <v>198</v>
      </c>
      <c r="H228" s="36" t="s">
        <v>369</v>
      </c>
      <c r="I228" s="37">
        <f>2966627</f>
        <v>2966627</v>
      </c>
      <c r="J228" s="38">
        <f>1723537.83</f>
        <v>1723537.83</v>
      </c>
      <c r="K228" s="38"/>
      <c r="L228" s="38"/>
      <c r="M228" s="38"/>
      <c r="N228" s="39">
        <f>1243089.17</f>
        <v>1243089.17</v>
      </c>
      <c r="O228" s="39"/>
    </row>
    <row r="229" spans="1:15" s="1" customFormat="1" ht="15" customHeight="1">
      <c r="A229" s="41" t="s">
        <v>370</v>
      </c>
      <c r="B229" s="41"/>
      <c r="C229" s="41"/>
      <c r="D229" s="41"/>
      <c r="E229" s="41"/>
      <c r="F229" s="41"/>
      <c r="G229" s="42" t="s">
        <v>371</v>
      </c>
      <c r="H229" s="42" t="s">
        <v>36</v>
      </c>
      <c r="I229" s="43">
        <f>-64828959.76</f>
        <v>-64828959.76</v>
      </c>
      <c r="J229" s="44">
        <f>-8869850.05</f>
        <v>-8869850.05</v>
      </c>
      <c r="K229" s="44"/>
      <c r="L229" s="44"/>
      <c r="M229" s="44"/>
      <c r="N229" s="45" t="s">
        <v>36</v>
      </c>
      <c r="O229" s="45"/>
    </row>
    <row r="230" spans="1:15" s="1" customFormat="1" ht="13.5" customHeight="1">
      <c r="A230" s="7" t="s">
        <v>10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1:15" s="1" customFormat="1" ht="13.5" customHeight="1">
      <c r="A231" s="12" t="s">
        <v>372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1:15" s="1" customFormat="1" ht="45.75" customHeight="1">
      <c r="A232" s="13" t="s">
        <v>22</v>
      </c>
      <c r="B232" s="13"/>
      <c r="C232" s="13"/>
      <c r="D232" s="13"/>
      <c r="E232" s="13"/>
      <c r="F232" s="13"/>
      <c r="G232" s="14" t="s">
        <v>23</v>
      </c>
      <c r="H232" s="14" t="s">
        <v>373</v>
      </c>
      <c r="I232" s="15" t="s">
        <v>25</v>
      </c>
      <c r="J232" s="16" t="s">
        <v>26</v>
      </c>
      <c r="K232" s="16"/>
      <c r="L232" s="16"/>
      <c r="M232" s="16"/>
      <c r="N232" s="17" t="s">
        <v>27</v>
      </c>
      <c r="O232" s="17"/>
    </row>
    <row r="233" spans="1:15" s="1" customFormat="1" ht="12.75" customHeight="1">
      <c r="A233" s="18" t="s">
        <v>28</v>
      </c>
      <c r="B233" s="18"/>
      <c r="C233" s="18"/>
      <c r="D233" s="18"/>
      <c r="E233" s="18"/>
      <c r="F233" s="18"/>
      <c r="G233" s="19" t="s">
        <v>29</v>
      </c>
      <c r="H233" s="19" t="s">
        <v>30</v>
      </c>
      <c r="I233" s="20" t="s">
        <v>31</v>
      </c>
      <c r="J233" s="21" t="s">
        <v>32</v>
      </c>
      <c r="K233" s="21"/>
      <c r="L233" s="21"/>
      <c r="M233" s="21"/>
      <c r="N233" s="22" t="s">
        <v>33</v>
      </c>
      <c r="O233" s="22"/>
    </row>
    <row r="234" spans="1:15" s="1" customFormat="1" ht="13.5" customHeight="1">
      <c r="A234" s="23" t="s">
        <v>374</v>
      </c>
      <c r="B234" s="23"/>
      <c r="C234" s="23"/>
      <c r="D234" s="23"/>
      <c r="E234" s="23"/>
      <c r="F234" s="23"/>
      <c r="G234" s="24" t="s">
        <v>375</v>
      </c>
      <c r="H234" s="24" t="s">
        <v>36</v>
      </c>
      <c r="I234" s="46">
        <f>64828959.76</f>
        <v>64828959.76</v>
      </c>
      <c r="J234" s="26">
        <f>8869850.05</f>
        <v>8869850.05</v>
      </c>
      <c r="K234" s="26"/>
      <c r="L234" s="26"/>
      <c r="M234" s="26"/>
      <c r="N234" s="47">
        <f>55959109.71</f>
        <v>55959109.71</v>
      </c>
      <c r="O234" s="47"/>
    </row>
    <row r="235" spans="1:15" s="1" customFormat="1" ht="13.5" customHeight="1">
      <c r="A235" s="48" t="s">
        <v>376</v>
      </c>
      <c r="B235" s="48"/>
      <c r="C235" s="48"/>
      <c r="D235" s="48"/>
      <c r="E235" s="48"/>
      <c r="F235" s="48"/>
      <c r="G235" s="49" t="s">
        <v>10</v>
      </c>
      <c r="H235" s="49" t="s">
        <v>10</v>
      </c>
      <c r="I235" s="50" t="s">
        <v>10</v>
      </c>
      <c r="J235" s="51" t="s">
        <v>10</v>
      </c>
      <c r="K235" s="51"/>
      <c r="L235" s="51"/>
      <c r="M235" s="51"/>
      <c r="N235" s="52" t="s">
        <v>10</v>
      </c>
      <c r="O235" s="52"/>
    </row>
    <row r="236" spans="1:15" s="1" customFormat="1" ht="13.5" customHeight="1">
      <c r="A236" s="28" t="s">
        <v>377</v>
      </c>
      <c r="B236" s="28"/>
      <c r="C236" s="28"/>
      <c r="D236" s="28"/>
      <c r="E236" s="28"/>
      <c r="F236" s="28"/>
      <c r="G236" s="53" t="s">
        <v>378</v>
      </c>
      <c r="H236" s="29" t="s">
        <v>36</v>
      </c>
      <c r="I236" s="54">
        <f>100000</f>
        <v>100000</v>
      </c>
      <c r="J236" s="31">
        <f>4932566.64</f>
        <v>4932566.64</v>
      </c>
      <c r="K236" s="31"/>
      <c r="L236" s="31"/>
      <c r="M236" s="31"/>
      <c r="N236" s="55">
        <f>-4832566.64</f>
        <v>-4832566.64</v>
      </c>
      <c r="O236" s="55"/>
    </row>
    <row r="237" spans="1:15" s="1" customFormat="1" ht="13.5" customHeight="1">
      <c r="A237" s="35" t="s">
        <v>379</v>
      </c>
      <c r="B237" s="35"/>
      <c r="C237" s="35"/>
      <c r="D237" s="35"/>
      <c r="E237" s="35"/>
      <c r="F237" s="35"/>
      <c r="G237" s="36" t="s">
        <v>378</v>
      </c>
      <c r="H237" s="36" t="s">
        <v>380</v>
      </c>
      <c r="I237" s="56">
        <f>100000</f>
        <v>100000</v>
      </c>
      <c r="J237" s="38">
        <f>4932566.64</f>
        <v>4932566.64</v>
      </c>
      <c r="K237" s="38"/>
      <c r="L237" s="38"/>
      <c r="M237" s="38"/>
      <c r="N237" s="57">
        <f>-4832566.64</f>
        <v>-4832566.64</v>
      </c>
      <c r="O237" s="57"/>
    </row>
    <row r="238" spans="1:15" s="1" customFormat="1" ht="13.5" customHeight="1">
      <c r="A238" s="35" t="s">
        <v>381</v>
      </c>
      <c r="B238" s="35"/>
      <c r="C238" s="35"/>
      <c r="D238" s="35"/>
      <c r="E238" s="35"/>
      <c r="F238" s="35"/>
      <c r="G238" s="36" t="s">
        <v>378</v>
      </c>
      <c r="H238" s="36" t="s">
        <v>382</v>
      </c>
      <c r="I238" s="56">
        <f>1000000</f>
        <v>1000000</v>
      </c>
      <c r="J238" s="38">
        <f>5832566.64</f>
        <v>5832566.64</v>
      </c>
      <c r="K238" s="38"/>
      <c r="L238" s="38"/>
      <c r="M238" s="38"/>
      <c r="N238" s="57">
        <f>-4832566.64</f>
        <v>-4832566.64</v>
      </c>
      <c r="O238" s="57"/>
    </row>
    <row r="239" spans="1:15" s="1" customFormat="1" ht="24" customHeight="1">
      <c r="A239" s="35" t="s">
        <v>383</v>
      </c>
      <c r="B239" s="35"/>
      <c r="C239" s="35"/>
      <c r="D239" s="35"/>
      <c r="E239" s="35"/>
      <c r="F239" s="35"/>
      <c r="G239" s="36" t="s">
        <v>378</v>
      </c>
      <c r="H239" s="36" t="s">
        <v>384</v>
      </c>
      <c r="I239" s="56">
        <f>15497700</f>
        <v>15497700</v>
      </c>
      <c r="J239" s="38">
        <f>15497700</f>
        <v>15497700</v>
      </c>
      <c r="K239" s="38"/>
      <c r="L239" s="38"/>
      <c r="M239" s="38"/>
      <c r="N239" s="57">
        <f>0</f>
        <v>0</v>
      </c>
      <c r="O239" s="57"/>
    </row>
    <row r="240" spans="1:15" s="1" customFormat="1" ht="24" customHeight="1">
      <c r="A240" s="35" t="s">
        <v>385</v>
      </c>
      <c r="B240" s="35"/>
      <c r="C240" s="35"/>
      <c r="D240" s="35"/>
      <c r="E240" s="35"/>
      <c r="F240" s="35"/>
      <c r="G240" s="36" t="s">
        <v>378</v>
      </c>
      <c r="H240" s="36" t="s">
        <v>386</v>
      </c>
      <c r="I240" s="56">
        <f>-14497700</f>
        <v>-14497700</v>
      </c>
      <c r="J240" s="38">
        <f>-9665133.36</f>
        <v>-9665133.36</v>
      </c>
      <c r="K240" s="38"/>
      <c r="L240" s="38"/>
      <c r="M240" s="38"/>
      <c r="N240" s="57">
        <f>-4832566.64</f>
        <v>-4832566.64</v>
      </c>
      <c r="O240" s="57"/>
    </row>
    <row r="241" spans="1:15" s="1" customFormat="1" ht="24" customHeight="1">
      <c r="A241" s="35" t="s">
        <v>387</v>
      </c>
      <c r="B241" s="35"/>
      <c r="C241" s="35"/>
      <c r="D241" s="35"/>
      <c r="E241" s="35"/>
      <c r="F241" s="35"/>
      <c r="G241" s="36" t="s">
        <v>378</v>
      </c>
      <c r="H241" s="36" t="s">
        <v>388</v>
      </c>
      <c r="I241" s="56">
        <f>15497700</f>
        <v>15497700</v>
      </c>
      <c r="J241" s="38">
        <f>15497700</f>
        <v>15497700</v>
      </c>
      <c r="K241" s="38"/>
      <c r="L241" s="38"/>
      <c r="M241" s="38"/>
      <c r="N241" s="57">
        <f>0</f>
        <v>0</v>
      </c>
      <c r="O241" s="57"/>
    </row>
    <row r="242" spans="1:15" s="1" customFormat="1" ht="24" customHeight="1">
      <c r="A242" s="35" t="s">
        <v>389</v>
      </c>
      <c r="B242" s="35"/>
      <c r="C242" s="35"/>
      <c r="D242" s="35"/>
      <c r="E242" s="35"/>
      <c r="F242" s="35"/>
      <c r="G242" s="36" t="s">
        <v>378</v>
      </c>
      <c r="H242" s="36" t="s">
        <v>390</v>
      </c>
      <c r="I242" s="56">
        <f>-14497700</f>
        <v>-14497700</v>
      </c>
      <c r="J242" s="38">
        <f>-9665133.36</f>
        <v>-9665133.36</v>
      </c>
      <c r="K242" s="38"/>
      <c r="L242" s="38"/>
      <c r="M242" s="38"/>
      <c r="N242" s="57">
        <f>-4832566.64</f>
        <v>-4832566.64</v>
      </c>
      <c r="O242" s="57"/>
    </row>
    <row r="243" spans="1:15" s="1" customFormat="1" ht="24" customHeight="1">
      <c r="A243" s="35" t="s">
        <v>391</v>
      </c>
      <c r="B243" s="35"/>
      <c r="C243" s="35"/>
      <c r="D243" s="35"/>
      <c r="E243" s="35"/>
      <c r="F243" s="35"/>
      <c r="G243" s="36" t="s">
        <v>378</v>
      </c>
      <c r="H243" s="36" t="s">
        <v>392</v>
      </c>
      <c r="I243" s="56">
        <f>-900000</f>
        <v>-900000</v>
      </c>
      <c r="J243" s="38">
        <f>-900000</f>
        <v>-900000</v>
      </c>
      <c r="K243" s="38"/>
      <c r="L243" s="38"/>
      <c r="M243" s="38"/>
      <c r="N243" s="57">
        <f aca="true" t="shared" si="7" ref="N243:N248">0</f>
        <v>0</v>
      </c>
      <c r="O243" s="57"/>
    </row>
    <row r="244" spans="1:15" s="1" customFormat="1" ht="24" customHeight="1">
      <c r="A244" s="35" t="s">
        <v>393</v>
      </c>
      <c r="B244" s="35"/>
      <c r="C244" s="35"/>
      <c r="D244" s="35"/>
      <c r="E244" s="35"/>
      <c r="F244" s="35"/>
      <c r="G244" s="36" t="s">
        <v>378</v>
      </c>
      <c r="H244" s="36" t="s">
        <v>394</v>
      </c>
      <c r="I244" s="56">
        <f>-900000</f>
        <v>-900000</v>
      </c>
      <c r="J244" s="38">
        <f>-900000</f>
        <v>-900000</v>
      </c>
      <c r="K244" s="38"/>
      <c r="L244" s="38"/>
      <c r="M244" s="38"/>
      <c r="N244" s="57">
        <f t="shared" si="7"/>
        <v>0</v>
      </c>
      <c r="O244" s="57"/>
    </row>
    <row r="245" spans="1:15" s="1" customFormat="1" ht="24" customHeight="1">
      <c r="A245" s="35" t="s">
        <v>395</v>
      </c>
      <c r="B245" s="35"/>
      <c r="C245" s="35"/>
      <c r="D245" s="35"/>
      <c r="E245" s="35"/>
      <c r="F245" s="35"/>
      <c r="G245" s="36" t="s">
        <v>378</v>
      </c>
      <c r="H245" s="36" t="s">
        <v>396</v>
      </c>
      <c r="I245" s="56">
        <f>8100000</f>
        <v>8100000</v>
      </c>
      <c r="J245" s="38">
        <f>8100000</f>
        <v>8100000</v>
      </c>
      <c r="K245" s="38"/>
      <c r="L245" s="38"/>
      <c r="M245" s="38"/>
      <c r="N245" s="57">
        <f t="shared" si="7"/>
        <v>0</v>
      </c>
      <c r="O245" s="57"/>
    </row>
    <row r="246" spans="1:15" s="1" customFormat="1" ht="24" customHeight="1">
      <c r="A246" s="35" t="s">
        <v>397</v>
      </c>
      <c r="B246" s="35"/>
      <c r="C246" s="35"/>
      <c r="D246" s="35"/>
      <c r="E246" s="35"/>
      <c r="F246" s="35"/>
      <c r="G246" s="36" t="s">
        <v>378</v>
      </c>
      <c r="H246" s="36" t="s">
        <v>398</v>
      </c>
      <c r="I246" s="56">
        <f>-9000000</f>
        <v>-9000000</v>
      </c>
      <c r="J246" s="38">
        <f>-9000000</f>
        <v>-9000000</v>
      </c>
      <c r="K246" s="38"/>
      <c r="L246" s="38"/>
      <c r="M246" s="38"/>
      <c r="N246" s="57">
        <f t="shared" si="7"/>
        <v>0</v>
      </c>
      <c r="O246" s="57"/>
    </row>
    <row r="247" spans="1:15" s="1" customFormat="1" ht="24" customHeight="1">
      <c r="A247" s="35" t="s">
        <v>399</v>
      </c>
      <c r="B247" s="35"/>
      <c r="C247" s="35"/>
      <c r="D247" s="35"/>
      <c r="E247" s="35"/>
      <c r="F247" s="35"/>
      <c r="G247" s="36" t="s">
        <v>378</v>
      </c>
      <c r="H247" s="36" t="s">
        <v>400</v>
      </c>
      <c r="I247" s="56">
        <f>8100000</f>
        <v>8100000</v>
      </c>
      <c r="J247" s="38">
        <f>8100000</f>
        <v>8100000</v>
      </c>
      <c r="K247" s="38"/>
      <c r="L247" s="38"/>
      <c r="M247" s="38"/>
      <c r="N247" s="57">
        <f t="shared" si="7"/>
        <v>0</v>
      </c>
      <c r="O247" s="57"/>
    </row>
    <row r="248" spans="1:15" s="1" customFormat="1" ht="24" customHeight="1">
      <c r="A248" s="35" t="s">
        <v>401</v>
      </c>
      <c r="B248" s="35"/>
      <c r="C248" s="35"/>
      <c r="D248" s="35"/>
      <c r="E248" s="35"/>
      <c r="F248" s="35"/>
      <c r="G248" s="36" t="s">
        <v>378</v>
      </c>
      <c r="H248" s="36" t="s">
        <v>402</v>
      </c>
      <c r="I248" s="56">
        <f>-9000000</f>
        <v>-9000000</v>
      </c>
      <c r="J248" s="38">
        <f>-9000000</f>
        <v>-9000000</v>
      </c>
      <c r="K248" s="38"/>
      <c r="L248" s="38"/>
      <c r="M248" s="38"/>
      <c r="N248" s="57">
        <f t="shared" si="7"/>
        <v>0</v>
      </c>
      <c r="O248" s="57"/>
    </row>
    <row r="249" spans="1:15" s="1" customFormat="1" ht="0.75" customHeight="1">
      <c r="A249" s="58" t="s">
        <v>10</v>
      </c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</row>
    <row r="250" spans="1:15" s="1" customFormat="1" ht="13.5" customHeight="1">
      <c r="A250" s="35" t="s">
        <v>403</v>
      </c>
      <c r="B250" s="35"/>
      <c r="C250" s="35"/>
      <c r="D250" s="35"/>
      <c r="E250" s="35"/>
      <c r="F250" s="35"/>
      <c r="G250" s="49" t="s">
        <v>404</v>
      </c>
      <c r="H250" s="49" t="s">
        <v>36</v>
      </c>
      <c r="I250" s="50" t="s">
        <v>63</v>
      </c>
      <c r="J250" s="40" t="s">
        <v>63</v>
      </c>
      <c r="K250" s="40"/>
      <c r="L250" s="40"/>
      <c r="M250" s="40"/>
      <c r="N250" s="52" t="s">
        <v>63</v>
      </c>
      <c r="O250" s="52"/>
    </row>
    <row r="251" spans="1:15" s="1" customFormat="1" ht="13.5" customHeight="1">
      <c r="A251" s="35" t="s">
        <v>10</v>
      </c>
      <c r="B251" s="35"/>
      <c r="C251" s="35"/>
      <c r="D251" s="35"/>
      <c r="E251" s="35"/>
      <c r="F251" s="35"/>
      <c r="G251" s="36" t="s">
        <v>404</v>
      </c>
      <c r="H251" s="36" t="s">
        <v>10</v>
      </c>
      <c r="I251" s="59" t="s">
        <v>63</v>
      </c>
      <c r="J251" s="40" t="s">
        <v>63</v>
      </c>
      <c r="K251" s="40"/>
      <c r="L251" s="40"/>
      <c r="M251" s="40"/>
      <c r="N251" s="60" t="s">
        <v>63</v>
      </c>
      <c r="O251" s="60"/>
    </row>
    <row r="252" spans="1:15" s="1" customFormat="1" ht="13.5" customHeight="1">
      <c r="A252" s="35" t="s">
        <v>405</v>
      </c>
      <c r="B252" s="35"/>
      <c r="C252" s="35"/>
      <c r="D252" s="35"/>
      <c r="E252" s="35"/>
      <c r="F252" s="35"/>
      <c r="G252" s="36" t="s">
        <v>406</v>
      </c>
      <c r="H252" s="36" t="s">
        <v>407</v>
      </c>
      <c r="I252" s="56">
        <f>64728959.76</f>
        <v>64728959.76</v>
      </c>
      <c r="J252" s="38">
        <f>3937283.41</f>
        <v>3937283.41</v>
      </c>
      <c r="K252" s="38"/>
      <c r="L252" s="38"/>
      <c r="M252" s="38"/>
      <c r="N252" s="57">
        <f>60791676.35</f>
        <v>60791676.35</v>
      </c>
      <c r="O252" s="57"/>
    </row>
    <row r="253" spans="1:15" s="1" customFormat="1" ht="13.5" customHeight="1">
      <c r="A253" s="35" t="s">
        <v>408</v>
      </c>
      <c r="B253" s="35"/>
      <c r="C253" s="35"/>
      <c r="D253" s="35"/>
      <c r="E253" s="35"/>
      <c r="F253" s="35"/>
      <c r="G253" s="36" t="s">
        <v>409</v>
      </c>
      <c r="H253" s="36" t="s">
        <v>410</v>
      </c>
      <c r="I253" s="56">
        <f>-454643126.59</f>
        <v>-454643126.59</v>
      </c>
      <c r="J253" s="38">
        <f>-325274656.26</f>
        <v>-325274656.26</v>
      </c>
      <c r="K253" s="38"/>
      <c r="L253" s="38"/>
      <c r="M253" s="38"/>
      <c r="N253" s="61" t="s">
        <v>36</v>
      </c>
      <c r="O253" s="61"/>
    </row>
    <row r="254" spans="1:15" s="1" customFormat="1" ht="13.5" customHeight="1">
      <c r="A254" s="35" t="s">
        <v>411</v>
      </c>
      <c r="B254" s="35"/>
      <c r="C254" s="35"/>
      <c r="D254" s="35"/>
      <c r="E254" s="35"/>
      <c r="F254" s="35"/>
      <c r="G254" s="36" t="s">
        <v>409</v>
      </c>
      <c r="H254" s="36" t="s">
        <v>412</v>
      </c>
      <c r="I254" s="56">
        <f>-454643126.59</f>
        <v>-454643126.59</v>
      </c>
      <c r="J254" s="38">
        <f>-325274656.26</f>
        <v>-325274656.26</v>
      </c>
      <c r="K254" s="38"/>
      <c r="L254" s="38"/>
      <c r="M254" s="38"/>
      <c r="N254" s="61" t="s">
        <v>36</v>
      </c>
      <c r="O254" s="61"/>
    </row>
    <row r="255" spans="1:15" s="1" customFormat="1" ht="13.5" customHeight="1">
      <c r="A255" s="35" t="s">
        <v>413</v>
      </c>
      <c r="B255" s="35"/>
      <c r="C255" s="35"/>
      <c r="D255" s="35"/>
      <c r="E255" s="35"/>
      <c r="F255" s="35"/>
      <c r="G255" s="36" t="s">
        <v>409</v>
      </c>
      <c r="H255" s="36" t="s">
        <v>414</v>
      </c>
      <c r="I255" s="56">
        <f>-454643126.59</f>
        <v>-454643126.59</v>
      </c>
      <c r="J255" s="38">
        <f>-325274656.26</f>
        <v>-325274656.26</v>
      </c>
      <c r="K255" s="38"/>
      <c r="L255" s="38"/>
      <c r="M255" s="38"/>
      <c r="N255" s="61" t="s">
        <v>36</v>
      </c>
      <c r="O255" s="61"/>
    </row>
    <row r="256" spans="1:15" s="1" customFormat="1" ht="13.5" customHeight="1">
      <c r="A256" s="35" t="s">
        <v>415</v>
      </c>
      <c r="B256" s="35"/>
      <c r="C256" s="35"/>
      <c r="D256" s="35"/>
      <c r="E256" s="35"/>
      <c r="F256" s="35"/>
      <c r="G256" s="36" t="s">
        <v>409</v>
      </c>
      <c r="H256" s="36" t="s">
        <v>416</v>
      </c>
      <c r="I256" s="56">
        <f>-454643126.59</f>
        <v>-454643126.59</v>
      </c>
      <c r="J256" s="38">
        <f>-325274656.26</f>
        <v>-325274656.26</v>
      </c>
      <c r="K256" s="38"/>
      <c r="L256" s="38"/>
      <c r="M256" s="38"/>
      <c r="N256" s="61" t="s">
        <v>36</v>
      </c>
      <c r="O256" s="61"/>
    </row>
    <row r="257" spans="1:15" s="1" customFormat="1" ht="13.5" customHeight="1">
      <c r="A257" s="35" t="s">
        <v>417</v>
      </c>
      <c r="B257" s="35"/>
      <c r="C257" s="35"/>
      <c r="D257" s="35"/>
      <c r="E257" s="35"/>
      <c r="F257" s="35"/>
      <c r="G257" s="36" t="s">
        <v>418</v>
      </c>
      <c r="H257" s="36" t="s">
        <v>419</v>
      </c>
      <c r="I257" s="56">
        <f>519372086.35</f>
        <v>519372086.35</v>
      </c>
      <c r="J257" s="38">
        <f>329211939.67</f>
        <v>329211939.67</v>
      </c>
      <c r="K257" s="38"/>
      <c r="L257" s="38"/>
      <c r="M257" s="38"/>
      <c r="N257" s="61" t="s">
        <v>36</v>
      </c>
      <c r="O257" s="61"/>
    </row>
    <row r="258" spans="1:15" s="1" customFormat="1" ht="13.5" customHeight="1">
      <c r="A258" s="35" t="s">
        <v>420</v>
      </c>
      <c r="B258" s="35"/>
      <c r="C258" s="35"/>
      <c r="D258" s="35"/>
      <c r="E258" s="35"/>
      <c r="F258" s="35"/>
      <c r="G258" s="36" t="s">
        <v>418</v>
      </c>
      <c r="H258" s="36" t="s">
        <v>421</v>
      </c>
      <c r="I258" s="56">
        <f>519372086.35</f>
        <v>519372086.35</v>
      </c>
      <c r="J258" s="38">
        <f>329211939.67</f>
        <v>329211939.67</v>
      </c>
      <c r="K258" s="38"/>
      <c r="L258" s="38"/>
      <c r="M258" s="38"/>
      <c r="N258" s="61" t="s">
        <v>36</v>
      </c>
      <c r="O258" s="61"/>
    </row>
    <row r="259" spans="1:15" s="1" customFormat="1" ht="13.5" customHeight="1">
      <c r="A259" s="35" t="s">
        <v>422</v>
      </c>
      <c r="B259" s="35"/>
      <c r="C259" s="35"/>
      <c r="D259" s="35"/>
      <c r="E259" s="35"/>
      <c r="F259" s="35"/>
      <c r="G259" s="36" t="s">
        <v>418</v>
      </c>
      <c r="H259" s="36" t="s">
        <v>423</v>
      </c>
      <c r="I259" s="56">
        <f>519372086.35</f>
        <v>519372086.35</v>
      </c>
      <c r="J259" s="38">
        <f>329211939.67</f>
        <v>329211939.67</v>
      </c>
      <c r="K259" s="38"/>
      <c r="L259" s="38"/>
      <c r="M259" s="38"/>
      <c r="N259" s="61" t="s">
        <v>36</v>
      </c>
      <c r="O259" s="61"/>
    </row>
    <row r="260" spans="1:15" s="1" customFormat="1" ht="24" customHeight="1">
      <c r="A260" s="35" t="s">
        <v>424</v>
      </c>
      <c r="B260" s="35"/>
      <c r="C260" s="35"/>
      <c r="D260" s="35"/>
      <c r="E260" s="35"/>
      <c r="F260" s="35"/>
      <c r="G260" s="36" t="s">
        <v>418</v>
      </c>
      <c r="H260" s="36" t="s">
        <v>425</v>
      </c>
      <c r="I260" s="56">
        <f>519372086.35</f>
        <v>519372086.35</v>
      </c>
      <c r="J260" s="38">
        <f>329211939.67</f>
        <v>329211939.67</v>
      </c>
      <c r="K260" s="38"/>
      <c r="L260" s="38"/>
      <c r="M260" s="38"/>
      <c r="N260" s="61" t="s">
        <v>36</v>
      </c>
      <c r="O260" s="61"/>
    </row>
    <row r="261" spans="1:15" s="1" customFormat="1" ht="13.5" customHeight="1">
      <c r="A261" s="62" t="s">
        <v>10</v>
      </c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</row>
    <row r="262" spans="1:15" s="1" customFormat="1" ht="15.75" customHeight="1">
      <c r="A262" s="7" t="s">
        <v>10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 s="1" customFormat="1" ht="13.5" customHeight="1">
      <c r="A263" s="63" t="s">
        <v>426</v>
      </c>
      <c r="B263" s="63"/>
      <c r="C263" s="63"/>
      <c r="D263" s="63"/>
      <c r="E263" s="63"/>
      <c r="F263" s="7" t="s">
        <v>10</v>
      </c>
      <c r="G263" s="7"/>
      <c r="H263" s="7"/>
      <c r="I263" s="7"/>
      <c r="J263" s="7"/>
      <c r="K263" s="7"/>
      <c r="L263" s="7"/>
      <c r="M263" s="7"/>
      <c r="N263" s="7"/>
      <c r="O263" s="7"/>
    </row>
    <row r="264" spans="1:15" s="1" customFormat="1" ht="13.5" customHeight="1">
      <c r="A264" s="4" t="s">
        <v>427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</sheetData>
  <sheetProtection/>
  <mergeCells count="764">
    <mergeCell ref="A261:O261"/>
    <mergeCell ref="A262:O262"/>
    <mergeCell ref="A263:E263"/>
    <mergeCell ref="F263:O263"/>
    <mergeCell ref="A264:O264"/>
    <mergeCell ref="A259:F259"/>
    <mergeCell ref="J259:M259"/>
    <mergeCell ref="N259:O259"/>
    <mergeCell ref="A260:F260"/>
    <mergeCell ref="J260:M260"/>
    <mergeCell ref="N260:O260"/>
    <mergeCell ref="A257:F257"/>
    <mergeCell ref="J257:M257"/>
    <mergeCell ref="N257:O257"/>
    <mergeCell ref="A258:F258"/>
    <mergeCell ref="J258:M258"/>
    <mergeCell ref="N258:O258"/>
    <mergeCell ref="A255:F255"/>
    <mergeCell ref="J255:M255"/>
    <mergeCell ref="N255:O255"/>
    <mergeCell ref="A256:F256"/>
    <mergeCell ref="J256:M256"/>
    <mergeCell ref="N256:O256"/>
    <mergeCell ref="A253:F253"/>
    <mergeCell ref="J253:M253"/>
    <mergeCell ref="N253:O253"/>
    <mergeCell ref="A254:F254"/>
    <mergeCell ref="J254:M254"/>
    <mergeCell ref="N254:O254"/>
    <mergeCell ref="A251:F251"/>
    <mergeCell ref="J251:M251"/>
    <mergeCell ref="N251:O251"/>
    <mergeCell ref="A252:F252"/>
    <mergeCell ref="J252:M252"/>
    <mergeCell ref="N252:O252"/>
    <mergeCell ref="A248:F248"/>
    <mergeCell ref="J248:M248"/>
    <mergeCell ref="N248:O248"/>
    <mergeCell ref="A249:O249"/>
    <mergeCell ref="A250:F250"/>
    <mergeCell ref="J250:M250"/>
    <mergeCell ref="N250:O250"/>
    <mergeCell ref="A246:F246"/>
    <mergeCell ref="J246:M246"/>
    <mergeCell ref="N246:O246"/>
    <mergeCell ref="A247:F247"/>
    <mergeCell ref="J247:M247"/>
    <mergeCell ref="N247:O247"/>
    <mergeCell ref="A244:F244"/>
    <mergeCell ref="J244:M244"/>
    <mergeCell ref="N244:O244"/>
    <mergeCell ref="A245:F245"/>
    <mergeCell ref="J245:M245"/>
    <mergeCell ref="N245:O245"/>
    <mergeCell ref="A242:F242"/>
    <mergeCell ref="J242:M242"/>
    <mergeCell ref="N242:O242"/>
    <mergeCell ref="A243:F243"/>
    <mergeCell ref="J243:M243"/>
    <mergeCell ref="N243:O243"/>
    <mergeCell ref="A240:F240"/>
    <mergeCell ref="J240:M240"/>
    <mergeCell ref="N240:O240"/>
    <mergeCell ref="A241:F241"/>
    <mergeCell ref="J241:M241"/>
    <mergeCell ref="N241:O241"/>
    <mergeCell ref="A238:F238"/>
    <mergeCell ref="J238:M238"/>
    <mergeCell ref="N238:O238"/>
    <mergeCell ref="A239:F239"/>
    <mergeCell ref="J239:M239"/>
    <mergeCell ref="N239:O239"/>
    <mergeCell ref="A236:F236"/>
    <mergeCell ref="J236:M236"/>
    <mergeCell ref="N236:O236"/>
    <mergeCell ref="A237:F237"/>
    <mergeCell ref="J237:M237"/>
    <mergeCell ref="N237:O237"/>
    <mergeCell ref="A234:F234"/>
    <mergeCell ref="J234:M234"/>
    <mergeCell ref="N234:O234"/>
    <mergeCell ref="A235:F235"/>
    <mergeCell ref="J235:M235"/>
    <mergeCell ref="N235:O235"/>
    <mergeCell ref="A230:O230"/>
    <mergeCell ref="A231:O231"/>
    <mergeCell ref="A232:F232"/>
    <mergeCell ref="J232:M232"/>
    <mergeCell ref="N232:O232"/>
    <mergeCell ref="A233:F233"/>
    <mergeCell ref="J233:M233"/>
    <mergeCell ref="N233:O233"/>
    <mergeCell ref="A228:F228"/>
    <mergeCell ref="J228:M228"/>
    <mergeCell ref="N228:O228"/>
    <mergeCell ref="A229:F229"/>
    <mergeCell ref="J229:M229"/>
    <mergeCell ref="N229:O229"/>
    <mergeCell ref="A226:F226"/>
    <mergeCell ref="J226:M226"/>
    <mergeCell ref="N226:O226"/>
    <mergeCell ref="A227:F227"/>
    <mergeCell ref="J227:M227"/>
    <mergeCell ref="N227:O227"/>
    <mergeCell ref="A224:F224"/>
    <mergeCell ref="J224:M224"/>
    <mergeCell ref="N224:O224"/>
    <mergeCell ref="A225:F225"/>
    <mergeCell ref="J225:M225"/>
    <mergeCell ref="N225:O225"/>
    <mergeCell ref="A222:F222"/>
    <mergeCell ref="J222:M222"/>
    <mergeCell ref="N222:O222"/>
    <mergeCell ref="A223:F223"/>
    <mergeCell ref="J223:M223"/>
    <mergeCell ref="N223:O223"/>
    <mergeCell ref="A220:F220"/>
    <mergeCell ref="J220:M220"/>
    <mergeCell ref="N220:O220"/>
    <mergeCell ref="A221:F221"/>
    <mergeCell ref="J221:M221"/>
    <mergeCell ref="N221:O221"/>
    <mergeCell ref="A218:F218"/>
    <mergeCell ref="J218:M218"/>
    <mergeCell ref="N218:O218"/>
    <mergeCell ref="A219:F219"/>
    <mergeCell ref="J219:M219"/>
    <mergeCell ref="N219:O219"/>
    <mergeCell ref="A216:F216"/>
    <mergeCell ref="J216:M216"/>
    <mergeCell ref="N216:O216"/>
    <mergeCell ref="A217:F217"/>
    <mergeCell ref="J217:M217"/>
    <mergeCell ref="N217:O217"/>
    <mergeCell ref="A214:F214"/>
    <mergeCell ref="J214:M214"/>
    <mergeCell ref="N214:O214"/>
    <mergeCell ref="A215:F215"/>
    <mergeCell ref="J215:M215"/>
    <mergeCell ref="N215:O215"/>
    <mergeCell ref="A212:F212"/>
    <mergeCell ref="J212:M212"/>
    <mergeCell ref="N212:O212"/>
    <mergeCell ref="A213:F213"/>
    <mergeCell ref="J213:M213"/>
    <mergeCell ref="N213:O213"/>
    <mergeCell ref="A210:F210"/>
    <mergeCell ref="J210:M210"/>
    <mergeCell ref="N210:O210"/>
    <mergeCell ref="A211:F211"/>
    <mergeCell ref="J211:M211"/>
    <mergeCell ref="N211:O211"/>
    <mergeCell ref="A208:F208"/>
    <mergeCell ref="J208:M208"/>
    <mergeCell ref="N208:O208"/>
    <mergeCell ref="A209:F209"/>
    <mergeCell ref="J209:M209"/>
    <mergeCell ref="N209:O209"/>
    <mergeCell ref="A206:F206"/>
    <mergeCell ref="J206:M206"/>
    <mergeCell ref="N206:O206"/>
    <mergeCell ref="A207:F207"/>
    <mergeCell ref="J207:M207"/>
    <mergeCell ref="N207:O207"/>
    <mergeCell ref="A204:F204"/>
    <mergeCell ref="J204:M204"/>
    <mergeCell ref="N204:O204"/>
    <mergeCell ref="A205:F205"/>
    <mergeCell ref="J205:M205"/>
    <mergeCell ref="N205:O205"/>
    <mergeCell ref="A202:F202"/>
    <mergeCell ref="J202:M202"/>
    <mergeCell ref="N202:O202"/>
    <mergeCell ref="A203:F203"/>
    <mergeCell ref="J203:M203"/>
    <mergeCell ref="N203:O203"/>
    <mergeCell ref="A200:F200"/>
    <mergeCell ref="J200:M200"/>
    <mergeCell ref="N200:O200"/>
    <mergeCell ref="A201:F201"/>
    <mergeCell ref="J201:M201"/>
    <mergeCell ref="N201:O201"/>
    <mergeCell ref="A198:F198"/>
    <mergeCell ref="J198:M198"/>
    <mergeCell ref="N198:O198"/>
    <mergeCell ref="A199:F199"/>
    <mergeCell ref="J199:M199"/>
    <mergeCell ref="N199:O199"/>
    <mergeCell ref="A196:F196"/>
    <mergeCell ref="J196:M196"/>
    <mergeCell ref="N196:O196"/>
    <mergeCell ref="A197:F197"/>
    <mergeCell ref="J197:M197"/>
    <mergeCell ref="N197:O197"/>
    <mergeCell ref="A194:F194"/>
    <mergeCell ref="J194:M194"/>
    <mergeCell ref="N194:O194"/>
    <mergeCell ref="A195:F195"/>
    <mergeCell ref="J195:M195"/>
    <mergeCell ref="N195:O195"/>
    <mergeCell ref="A192:F192"/>
    <mergeCell ref="J192:M192"/>
    <mergeCell ref="N192:O192"/>
    <mergeCell ref="A193:F193"/>
    <mergeCell ref="J193:M193"/>
    <mergeCell ref="N193:O193"/>
    <mergeCell ref="A190:F190"/>
    <mergeCell ref="J190:M190"/>
    <mergeCell ref="N190:O190"/>
    <mergeCell ref="A191:F191"/>
    <mergeCell ref="J191:M191"/>
    <mergeCell ref="N191:O191"/>
    <mergeCell ref="A188:F188"/>
    <mergeCell ref="J188:M188"/>
    <mergeCell ref="N188:O188"/>
    <mergeCell ref="A189:F189"/>
    <mergeCell ref="J189:M189"/>
    <mergeCell ref="N189:O189"/>
    <mergeCell ref="A186:F186"/>
    <mergeCell ref="J186:M186"/>
    <mergeCell ref="N186:O186"/>
    <mergeCell ref="A187:F187"/>
    <mergeCell ref="J187:M187"/>
    <mergeCell ref="N187:O187"/>
    <mergeCell ref="A184:F184"/>
    <mergeCell ref="J184:M184"/>
    <mergeCell ref="N184:O184"/>
    <mergeCell ref="A185:F185"/>
    <mergeCell ref="J185:M185"/>
    <mergeCell ref="N185:O185"/>
    <mergeCell ref="A182:F182"/>
    <mergeCell ref="J182:M182"/>
    <mergeCell ref="N182:O182"/>
    <mergeCell ref="A183:F183"/>
    <mergeCell ref="J183:M183"/>
    <mergeCell ref="N183:O183"/>
    <mergeCell ref="A180:F180"/>
    <mergeCell ref="J180:M180"/>
    <mergeCell ref="N180:O180"/>
    <mergeCell ref="A181:F181"/>
    <mergeCell ref="J181:M181"/>
    <mergeCell ref="N181:O181"/>
    <mergeCell ref="A178:F178"/>
    <mergeCell ref="J178:M178"/>
    <mergeCell ref="N178:O178"/>
    <mergeCell ref="A179:F179"/>
    <mergeCell ref="J179:M179"/>
    <mergeCell ref="N179:O179"/>
    <mergeCell ref="A176:F176"/>
    <mergeCell ref="J176:M176"/>
    <mergeCell ref="N176:O176"/>
    <mergeCell ref="A177:F177"/>
    <mergeCell ref="J177:M177"/>
    <mergeCell ref="N177:O177"/>
    <mergeCell ref="A174:F174"/>
    <mergeCell ref="J174:M174"/>
    <mergeCell ref="N174:O174"/>
    <mergeCell ref="A175:F175"/>
    <mergeCell ref="J175:M175"/>
    <mergeCell ref="N175:O175"/>
    <mergeCell ref="A172:F172"/>
    <mergeCell ref="J172:M172"/>
    <mergeCell ref="N172:O172"/>
    <mergeCell ref="A173:F173"/>
    <mergeCell ref="J173:M173"/>
    <mergeCell ref="N173:O173"/>
    <mergeCell ref="A170:F170"/>
    <mergeCell ref="J170:M170"/>
    <mergeCell ref="N170:O170"/>
    <mergeCell ref="A171:F171"/>
    <mergeCell ref="J171:M171"/>
    <mergeCell ref="N171:O171"/>
    <mergeCell ref="A168:F168"/>
    <mergeCell ref="J168:M168"/>
    <mergeCell ref="N168:O168"/>
    <mergeCell ref="A169:F169"/>
    <mergeCell ref="J169:M169"/>
    <mergeCell ref="N169:O169"/>
    <mergeCell ref="A166:F166"/>
    <mergeCell ref="J166:M166"/>
    <mergeCell ref="N166:O166"/>
    <mergeCell ref="A167:F167"/>
    <mergeCell ref="J167:M167"/>
    <mergeCell ref="N167:O167"/>
    <mergeCell ref="A164:F164"/>
    <mergeCell ref="J164:M164"/>
    <mergeCell ref="N164:O164"/>
    <mergeCell ref="A165:F165"/>
    <mergeCell ref="J165:M165"/>
    <mergeCell ref="N165:O165"/>
    <mergeCell ref="A162:F162"/>
    <mergeCell ref="J162:M162"/>
    <mergeCell ref="N162:O162"/>
    <mergeCell ref="A163:F163"/>
    <mergeCell ref="J163:M163"/>
    <mergeCell ref="N163:O163"/>
    <mergeCell ref="A160:F160"/>
    <mergeCell ref="J160:M160"/>
    <mergeCell ref="N160:O160"/>
    <mergeCell ref="A161:F161"/>
    <mergeCell ref="J161:M161"/>
    <mergeCell ref="N161:O161"/>
    <mergeCell ref="A158:F158"/>
    <mergeCell ref="J158:M158"/>
    <mergeCell ref="N158:O158"/>
    <mergeCell ref="A159:F159"/>
    <mergeCell ref="J159:M159"/>
    <mergeCell ref="N159:O159"/>
    <mergeCell ref="A156:F156"/>
    <mergeCell ref="J156:M156"/>
    <mergeCell ref="N156:O156"/>
    <mergeCell ref="A157:F157"/>
    <mergeCell ref="J157:M157"/>
    <mergeCell ref="N157:O157"/>
    <mergeCell ref="A154:F154"/>
    <mergeCell ref="J154:M154"/>
    <mergeCell ref="N154:O154"/>
    <mergeCell ref="A155:F155"/>
    <mergeCell ref="J155:M155"/>
    <mergeCell ref="N155:O155"/>
    <mergeCell ref="A152:F152"/>
    <mergeCell ref="J152:M152"/>
    <mergeCell ref="N152:O152"/>
    <mergeCell ref="A153:F153"/>
    <mergeCell ref="J153:M153"/>
    <mergeCell ref="N153:O153"/>
    <mergeCell ref="A150:F150"/>
    <mergeCell ref="J150:M150"/>
    <mergeCell ref="N150:O150"/>
    <mergeCell ref="A151:F151"/>
    <mergeCell ref="J151:M151"/>
    <mergeCell ref="N151:O151"/>
    <mergeCell ref="A148:F148"/>
    <mergeCell ref="J148:M148"/>
    <mergeCell ref="N148:O148"/>
    <mergeCell ref="A149:F149"/>
    <mergeCell ref="J149:M149"/>
    <mergeCell ref="N149:O149"/>
    <mergeCell ref="A146:F146"/>
    <mergeCell ref="J146:M146"/>
    <mergeCell ref="N146:O146"/>
    <mergeCell ref="A147:F147"/>
    <mergeCell ref="J147:M147"/>
    <mergeCell ref="N147:O147"/>
    <mergeCell ref="A144:F144"/>
    <mergeCell ref="J144:M144"/>
    <mergeCell ref="N144:O144"/>
    <mergeCell ref="A145:F145"/>
    <mergeCell ref="J145:M145"/>
    <mergeCell ref="N145:O145"/>
    <mergeCell ref="A142:F142"/>
    <mergeCell ref="J142:M142"/>
    <mergeCell ref="N142:O142"/>
    <mergeCell ref="A143:F143"/>
    <mergeCell ref="J143:M143"/>
    <mergeCell ref="N143:O143"/>
    <mergeCell ref="A140:F140"/>
    <mergeCell ref="J140:M140"/>
    <mergeCell ref="N140:O140"/>
    <mergeCell ref="A141:F141"/>
    <mergeCell ref="J141:M141"/>
    <mergeCell ref="N141:O141"/>
    <mergeCell ref="A138:F138"/>
    <mergeCell ref="J138:M138"/>
    <mergeCell ref="N138:O138"/>
    <mergeCell ref="A139:F139"/>
    <mergeCell ref="J139:M139"/>
    <mergeCell ref="N139:O139"/>
    <mergeCell ref="A136:F136"/>
    <mergeCell ref="J136:M136"/>
    <mergeCell ref="N136:O136"/>
    <mergeCell ref="A137:F137"/>
    <mergeCell ref="J137:M137"/>
    <mergeCell ref="N137:O137"/>
    <mergeCell ref="A134:F134"/>
    <mergeCell ref="J134:M134"/>
    <mergeCell ref="N134:O134"/>
    <mergeCell ref="A135:F135"/>
    <mergeCell ref="J135:M135"/>
    <mergeCell ref="N135:O135"/>
    <mergeCell ref="A132:F132"/>
    <mergeCell ref="J132:M132"/>
    <mergeCell ref="N132:O132"/>
    <mergeCell ref="A133:F133"/>
    <mergeCell ref="J133:M133"/>
    <mergeCell ref="N133:O133"/>
    <mergeCell ref="A130:F130"/>
    <mergeCell ref="J130:M130"/>
    <mergeCell ref="N130:O130"/>
    <mergeCell ref="A131:F131"/>
    <mergeCell ref="J131:M131"/>
    <mergeCell ref="N131:O131"/>
    <mergeCell ref="A128:F128"/>
    <mergeCell ref="J128:M128"/>
    <mergeCell ref="N128:O128"/>
    <mergeCell ref="A129:F129"/>
    <mergeCell ref="J129:M129"/>
    <mergeCell ref="N129:O129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2:O92"/>
    <mergeCell ref="A93:O93"/>
    <mergeCell ref="A94:F94"/>
    <mergeCell ref="J94:M94"/>
    <mergeCell ref="N94:O94"/>
    <mergeCell ref="A95:F95"/>
    <mergeCell ref="J95:M95"/>
    <mergeCell ref="N95:O95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92" max="255" man="1"/>
    <brk id="23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2015-09-22T07:43:43Z</dcterms:created>
  <dcterms:modified xsi:type="dcterms:W3CDTF">2015-09-22T07:43:43Z</dcterms:modified>
  <cp:category/>
  <cp:version/>
  <cp:contentType/>
  <cp:contentStatus/>
</cp:coreProperties>
</file>